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dOyqDQWHO6sQ8btP12gueomENMyBhtmri/oc9WEsQuwoyHRv7hnkOMz/EXbWkLVtH6+cCu0rRYsDAgp4HlnwMA==" workbookSaltValue="RZBXtLxTHDJDHXdJYqX0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F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AP16" i="20"/>
  <c r="BH9" i="16"/>
  <c r="V15" i="11"/>
  <c r="BJ17" i="11"/>
  <c r="BH15" i="11"/>
  <c r="BH15" i="16"/>
  <c r="Q17" i="20"/>
  <c r="Q18" i="20" s="1"/>
  <c r="V11" i="16"/>
  <c r="BF17" i="11"/>
  <c r="BF16" i="11"/>
  <c r="S17" i="16"/>
  <c r="BL12" i="11"/>
  <c r="AT17" i="20"/>
  <c r="V17" i="16"/>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5" i="2"/>
  <c r="V10" i="16"/>
  <c r="V9" i="16"/>
  <c r="BA18" i="13"/>
  <c r="AH20" i="20"/>
  <c r="AL20" i="20"/>
  <c r="AB20" i="20"/>
  <c r="AO20" i="20"/>
  <c r="AN20" i="20"/>
  <c r="Y20" i="20"/>
  <c r="U10" i="11"/>
  <c r="AY18" i="8" l="1"/>
  <c r="AJ19" i="8"/>
  <c r="BD16" i="8"/>
  <c r="H16" i="7" s="1"/>
  <c r="T19" i="8"/>
  <c r="BG15" i="8"/>
  <c r="AC10" i="11"/>
  <c r="BD9" i="8"/>
  <c r="H9" i="7" s="1"/>
  <c r="AL12" i="11"/>
  <c r="B10" i="6"/>
  <c r="D10" i="6"/>
  <c r="E12" i="6"/>
  <c r="AO12" i="11"/>
  <c r="H12" i="2"/>
  <c r="H12" i="7"/>
  <c r="K15" i="7"/>
  <c r="C10" i="6"/>
  <c r="AO17" i="11"/>
  <c r="L16" i="14"/>
  <c r="L17" i="14"/>
  <c r="M13" i="2"/>
  <c r="AL9" i="11"/>
  <c r="C17"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BK9" i="11"/>
  <c r="BF10" i="11"/>
  <c r="BK12" i="11"/>
  <c r="BL17" i="11"/>
  <c r="P17" i="17"/>
  <c r="BM16" i="11"/>
  <c r="BG10" i="11"/>
  <c r="BH17" i="16"/>
  <c r="BL9" i="11"/>
  <c r="BH11" i="16"/>
  <c r="BF11" i="11"/>
  <c r="T9" i="11"/>
  <c r="S12" i="14"/>
  <c r="V12" i="14" s="1"/>
  <c r="S16" i="14"/>
  <c r="V16" i="14" s="1"/>
  <c r="BF15" i="13"/>
  <c r="BG16" i="13"/>
  <c r="BE16" i="13"/>
  <c r="F15" i="17"/>
  <c r="AQ15" i="17" s="1"/>
  <c r="AY13" i="8"/>
  <c r="L9" i="14"/>
  <c r="L12" i="14"/>
  <c r="AY13" i="13"/>
  <c r="BA13" i="13"/>
  <c r="R11" i="14"/>
  <c r="R17" i="14"/>
  <c r="T12"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J13" i="2"/>
  <c r="K9" i="1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<sst xmlns="http://schemas.openxmlformats.org/spreadsheetml/2006/main" count="2088" uniqueCount="909">
  <si>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</si>
  <si>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</si>
  <si>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</si>
  <si>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</si>
  <si>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</si>
  <si>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</si>
  <si>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</si>
  <si>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</si>
  <si>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</si>
  <si>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</si>
  <si>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</si>
  <si>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</si>
  <si>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</si>
  <si>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</si>
  <si>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</si>
  <si>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</si>
  <si>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</si>
  <si>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</si>
  <si>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</si>
  <si>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</si>
  <si>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</si>
  <si>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</si>
  <si>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</si>
  <si>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</si>
  <si>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</si>
  <si>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</si>
  <si>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</si>
  <si>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</si>
  <si>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</si>
  <si>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</si>
  <si>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</si>
  <si>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</si>
  <si>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</si>
  <si>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</si>
  <si>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</si>
  <si>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</si>
  <si>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</si>
  <si>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</si>
  <si>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</si>
  <si>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</si>
  <si>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</si>
  <si>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</si>
  <si>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</si>
  <si>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</si>
  <si>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</si>
  <si>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</si>
  <si>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</si>
  <si>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</si>
  <si>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</si>
  <si>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</si>
  <si>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</si>
  <si>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</si>
  <si>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</si>
  <si>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</si>
  <si>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</si>
  <si>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</si>
  <si>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</si>
  <si>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</si>
  <si>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</si>
  <si>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</si>
  <si>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</si>
  <si>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</si>
  <si>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</si>
  <si>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</si>
  <si>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</si>
  <si>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</si>
  <si>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</si>
  <si>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</si>
  <si>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</si>
  <si>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</si>
  <si>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</si>
  <si>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</si>
  <si>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</si>
  <si>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</si>
  <si>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</si>
  <si>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</si>
  <si>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</si>
  <si>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</si>
  <si>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</si>
  <si>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</si>
  <si>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</si>
  <si>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</si>
  <si>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</si>
  <si>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</si>
  <si>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</si>
  <si>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</si>
  <si>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</si>
  <si>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</si>
  <si>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</si>
  <si>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</si>
  <si>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</si>
  <si>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</si>
  <si>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</si>
  <si>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</si>
  <si>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</si>
  <si>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</si>
  <si>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</si>
  <si>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</si>
  <si>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</si>
  <si>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</si>
  <si>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</si>
  <si>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</si>
  <si>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</si>
  <si>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</si>
  <si>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</si>
  <si>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</si>
  <si>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</si>
  <si>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</si>
  <si>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</si>
  <si>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</si>
  <si>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</si>
  <si>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</si>
  <si>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</si>
  <si>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</si>
  <si>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</si>
  <si>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</si>
  <si>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</si>
  <si>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</si>
  <si>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</si>
  <si>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</si>
  <si>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</si>
  <si>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</si>
  <si>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</si>
  <si>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</si>
  <si>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</si>
  <si>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</si>
  <si>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</si>
  <si>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</si>
  <si>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</si>
  <si>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</si>
  <si>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</si>
  <si>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</si>
  <si>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</si>
  <si>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</si>
  <si>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</si>
  <si>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</si>
  <si>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</si>
  <si>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</si>
  <si>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</si>
  <si>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</si>
  <si>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</si>
  <si>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</si>
  <si>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</si>
  <si>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</si>
  <si>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</si>
  <si>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</si>
  <si>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</si>
  <si>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</si>
  <si>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</si>
  <si>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</si>
  <si>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</si>
  <si>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</si>
  <si>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</si>
  <si>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</si>
  <si>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</si>
  <si>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</si>
  <si>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</si>
  <si>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</si>
  <si>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</si>
  <si>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</si>
  <si>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</si>
  <si>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</si>
  <si>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</si>
  <si>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</si>
  <si>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</si>
  <si>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</si>
  <si>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</si>
  <si>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</si>
  <si>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</si>
  <si>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</si>
  <si>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</si>
  <si>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</si>
  <si>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</si>
  <si>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</si>
  <si>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</si>
  <si>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</si>
  <si>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</si>
  <si>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</si>
  <si>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</si>
  <si>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</si>
  <si>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</si>
  <si>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</si>
  <si>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</si>
  <si>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</si>
  <si>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</si>
  <si>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</si>
  <si>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</si>
  <si>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</si>
  <si>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</si>
  <si>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</si>
  <si>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</si>
  <si>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</si>
  <si>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</si>
  <si>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</si>
  <si>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</si>
  <si>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</si>
  <si>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</si>
  <si>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</si>
  <si>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</si>
  <si>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</si>
  <si>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</si>
  <si>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</si>
  <si>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</si>
  <si>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</si>
  <si>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</si>
  <si>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</si>
  <si>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</si>
  <si>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</si>
  <si>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</si>
  <si>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</si>
  <si>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</si>
  <si>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</si>
  <si>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</si>
  <si>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</si>
  <si>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</si>
  <si>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</si>
  <si>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</si>
  <si>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</si>
  <si>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</si>
  <si>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</si>
  <si>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</si>
  <si>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</si>
  <si>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</si>
  <si>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</si>
  <si>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</si>
  <si>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</si>
  <si>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</si>
  <si>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</si>
  <si>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</si>
  <si>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</si>
  <si>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</si>
  <si>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</si>
  <si>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</si>
  <si>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</si>
  <si>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</si>
  <si>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</si>
  <si>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</si>
  <si>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</si>
  <si>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</si>
  <si>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</si>
  <si>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</si>
  <si>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</si>
  <si>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</si>
  <si>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</si>
  <si>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</si>
  <si>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</si>
  <si>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</si>
  <si>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</si>
  <si>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</si>
  <si>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</si>
  <si>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</si>
  <si>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</si>
  <si>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</si>
  <si>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</si>
  <si>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</si>
  <si>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</si>
  <si>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</si>
  <si>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</si>
  <si>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</si>
  <si>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</si>
  <si>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</si>
  <si>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</si>
  <si>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</si>
  <si>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</si>
  <si>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</si>
  <si>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</si>
  <si>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</si>
  <si>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</si>
  <si>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</si>
  <si>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</si>
  <si>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</si>
  <si>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</si>
  <si>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</si>
  <si>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</si>
  <si>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</si>
  <si>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</si>
  <si>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</si>
  <si>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</si>
  <si>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</si>
  <si>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</si>
  <si>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</si>
  <si>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</si>
  <si>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</si>
  <si>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</si>
  <si>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</si>
  <si>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</si>
  <si>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</si>
  <si>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</si>
  <si>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</si>
  <si>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</si>
  <si>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</si>
  <si>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</si>
  <si>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</si>
  <si>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</si>
  <si>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</si>
  <si>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</si>
  <si>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</si>
  <si>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</si>
  <si>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</si>
  <si>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</si>
  <si>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</si>
  <si>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</si>
  <si>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</si>
  <si>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</si>
  <si>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</si>
  <si>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</si>
  <si>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</si>
  <si>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</si>
  <si>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</si>
  <si>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</si>
  <si>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</si>
  <si>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</si>
  <si>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</si>
  <si>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</si>
  <si>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</si>
  <si>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</si>
  <si>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</si>
  <si>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</si>
  <si>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</si>
  <si>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</si>
  <si>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</si>
  <si>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</si>
  <si>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</si>
  <si>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</si>
  <si>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</si>
  <si>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</si>
  <si>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</si>
  <si>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</si>
  <si>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</si>
  <si>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</si>
  <si>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</si>
  <si>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</si>
  <si>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</si>
  <si>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</si>
  <si>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</si>
  <si>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</si>
  <si>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</si>
  <si>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</si>
  <si>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</si>
  <si>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</si>
  <si>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</si>
  <si>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</si>
  <si>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</si>
  <si>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</si>
  <si>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</si>
  <si>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</si>
  <si>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</si>
  <si>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</si>
  <si>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</si>
  <si>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</si>
  <si>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</si>
  <si>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</si>
  <si>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</si>
  <si>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</si>
  <si>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</si>
  <si>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</si>
  <si>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</si>
  <si>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</si>
  <si>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</si>
  <si>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</si>
  <si>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</si>
  <si>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</si>
  <si>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</si>
  <si>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</si>
  <si>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</si>
  <si>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</si>
  <si>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</si>
  <si>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</si>
  <si>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</si>
  <si>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</si>
  <si>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</si>
  <si>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</si>
  <si>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</si>
  <si>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</si>
  <si>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</si>
  <si>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</si>
  <si>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</si>
  <si>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</si>
  <si>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</si>
  <si>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</si>
  <si>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</si>
  <si>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</si>
  <si>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</si>
  <si>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</si>
  <si>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</si>
  <si>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</si>
  <si>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</si>
  <si>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</si>
  <si>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</si>
  <si>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</si>
  <si>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</si>
  <si>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</si>
  <si>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</si>
  <si>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</si>
  <si>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</si>
  <si>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</si>
  <si>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</si>
  <si>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</si>
  <si>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</si>
  <si>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</si>
  <si>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</si>
  <si>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</si>
  <si>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</si>
  <si>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</si>
  <si>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</si>
  <si>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</si>
  <si>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</si>
  <si>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</si>
  <si>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</si>
  <si>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</si>
  <si>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</si>
  <si>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</si>
  <si>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</si>
  <si>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</si>
  <si>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</si>
  <si>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</si>
  <si>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</si>
  <si>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</si>
  <si>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</si>
  <si>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</si>
  <si>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</si>
  <si>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</si>
  <si>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</si>
  <si>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</si>
  <si>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</si>
  <si>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</si>
  <si>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</si>
  <si>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</si>
  <si>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</si>
  <si>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</si>
  <si>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</si>
  <si>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</si>
  <si>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</si>
  <si>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</si>
  <si>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</si>
  <si>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</si>
  <si>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</si>
  <si>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</si>
  <si>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</si>
  <si>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</si>
  <si>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</si>
  <si>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</si>
  <si>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</si>
  <si>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</si>
  <si>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</si>
  <si>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</si>
  <si>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</si>
  <si>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</si>
  <si>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</si>
  <si>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</si>
  <si>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</si>
  <si>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</si>
  <si>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</si>
  <si>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</si>
  <si>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</si>
  <si>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</si>
  <si>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</si>
  <si>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</si>
  <si>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</si>
  <si>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</si>
  <si>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</si>
  <si>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</si>
  <si>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</si>
  <si>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</si>
  <si>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</si>
  <si>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</si>
  <si>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</si>
  <si>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</si>
  <si>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</si>
  <si>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</si>
  <si>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</si>
  <si>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</si>
  <si>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</si>
  <si>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</si>
  <si>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</si>
  <si>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</si>
  <si>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</si>
  <si>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</si>
  <si>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</si>
  <si>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</si>
  <si>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</si>
  <si>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</si>
  <si>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</si>
  <si>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</si>
  <si>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</si>
  <si>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</si>
  <si>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</si>
  <si>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</si>
  <si>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</si>
  <si>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</si>
  <si>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</si>
  <si>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</si>
  <si>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</si>
  <si>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</si>
  <si>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</si>
  <si>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</si>
  <si>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</si>
  <si>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</si>
  <si>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</si>
  <si>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</si>
  <si>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</si>
  <si>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</si>
  <si>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</si>
  <si>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</si>
  <si>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</si>
  <si>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</si>
  <si>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</si>
  <si>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</si>
  <si>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</si>
  <si>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</si>
  <si>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</si>
  <si>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</si>
  <si>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</si>
  <si>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</si>
  <si>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</si>
  <si>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</si>
  <si>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</si>
  <si>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</si>
  <si>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</si>
  <si>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</si>
  <si>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</si>
  <si>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</si>
  <si>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</si>
  <si>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</si>
  <si>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</si>
  <si>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</si>
  <si>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</si>
  <si>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</si>
  <si>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</si>
  <si>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</si>
  <si>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</si>
  <si>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</si>
  <si>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</si>
  <si>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</si>
  <si>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</si>
  <si>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</si>
  <si>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</si>
  <si>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</si>
  <si>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</si>
  <si>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</si>
  <si>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</si>
  <si>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</si>
  <si>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</si>
  <si>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</si>
  <si>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</si>
  <si>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</si>
  <si>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</si>
  <si>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</si>
  <si>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</si>
  <si>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</si>
  <si>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</si>
  <si>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</si>
  <si>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</si>
  <si>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</si>
  <si>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</si>
  <si>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</si>
  <si>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</si>
  <si>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</si>
  <si>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</si>
  <si>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</si>
  <si>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</si>
  <si>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</si>
  <si>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</si>
  <si>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</si>
  <si>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</si>
  <si>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</si>
  <si>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</si>
  <si>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</si>
  <si>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</si>
  <si>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</si>
  <si>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</si>
  <si>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</si>
  <si>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</si>
  <si>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</si>
  <si>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</si>
  <si>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</si>
  <si>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</si>
  <si>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</si>
  <si>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</si>
  <si>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</si>
  <si>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</si>
  <si>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</si>
  <si>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</si>
  <si>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</si>
  <si>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</si>
  <si>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</si>
  <si>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</si>
  <si>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</si>
  <si>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</si>
  <si>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</si>
  <si>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</si>
  <si>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</si>
  <si>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</si>
  <si>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</si>
  <si>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</si>
  <si>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</si>
  <si>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</si>
  <si>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</si>
  <si>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</si>
  <si>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</si>
  <si>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</si>
  <si>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</si>
  <si>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</si>
  <si>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</si>
  <si>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</si>
  <si>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</si>
  <si>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</si>
  <si>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</si>
  <si>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</si>
  <si>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</si>
  <si>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</si>
  <si>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</si>
  <si>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</si>
  <si>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</si>
  <si>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</si>
  <si>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</si>
  <si>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</si>
  <si>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</si>
  <si>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</si>
  <si>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</si>
  <si>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</si>
  <si>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</si>
  <si>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</si>
  <si>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</si>
  <si>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</si>
  <si>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</si>
  <si>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</si>
  <si>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</si>
  <si>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</si>
  <si>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</si>
  <si>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</si>
  <si>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</si>
  <si>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</si>
  <si>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</si>
  <si>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</si>
  <si>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</si>
  <si>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</si>
  <si>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</si>
  <si>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</si>
  <si>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</si>
  <si>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</si>
  <si>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</si>
  <si>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</si>
  <si>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</si>
  <si>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</si>
  <si>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</si>
  <si>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</si>
  <si>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</si>
  <si>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</si>
  <si>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</si>
  <si>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</si>
  <si>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</si>
  <si>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</si>
  <si>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</si>
  <si>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</si>
  <si>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</si>
  <si>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</si>
  <si>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</si>
  <si>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</si>
  <si>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</si>
  <si>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</si>
  <si>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</si>
  <si>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</si>
  <si>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</si>
  <si>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</si>
  <si>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</si>
  <si>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</si>
  <si>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</si>
  <si>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</si>
  <si>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</si>
  <si>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</si>
  <si>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</si>
  <si>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</si>
  <si>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</si>
  <si>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</si>
  <si>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</si>
  <si>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</si>
  <si>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</si>
  <si>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</si>
  <si>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</si>
  <si>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</si>
  <si>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</si>
  <si>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</si>
  <si>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</si>
  <si>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</si>
  <si>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</si>
  <si>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</si>
  <si>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</si>
  <si>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</si>
  <si>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</si>
  <si>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</si>
  <si>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</si>
  <si>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</si>
  <si>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</si>
  <si>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</si>
  <si>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</si>
  <si>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</si>
  <si>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</si>
  <si>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</si>
  <si>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</si>
  <si>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</si>
  <si>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</si>
  <si>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</si>
  <si>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</si>
  <si>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</si>
  <si>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</si>
  <si>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</si>
  <si>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</si>
  <si>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</si>
  <si>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</si>
  <si>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</si>
  <si>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</si>
  <si>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</si>
  <si>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</si>
  <si>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</si>
  <si>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</si>
  <si>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</si>
  <si>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</si>
  <si>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</si>
  <si>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</si>
  <si>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</si>
  <si>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</si>
  <si>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</si>
  <si>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</si>
  <si>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</si>
  <si>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</si>
  <si>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</si>
  <si>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</si>
  <si>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</si>
  <si>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</si>
  <si>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</si>
  <si>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</si>
  <si>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</si>
  <si>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</si>
  <si>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</si>
  <si>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</si>
  <si>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</si>
  <si>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</si>
  <si>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</si>
  <si>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</si>
  <si>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</si>
  <si>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</si>
  <si>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</si>
  <si>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</si>
  <si>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</si>
  <si>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</si>
  <si>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</si>
  <si>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</si>
  <si>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</si>
  <si>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</si>
  <si>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</si>
  <si>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</si>
  <si>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</si>
  <si>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</si>
  <si>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</si>
  <si>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</si>
  <si>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</si>
  <si>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</si>
  <si>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</si>
  <si>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</si>
  <si>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</si>
  <si>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</si>
  <si>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</si>
  <si>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</si>
  <si>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</si>
  <si>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</si>
  <si>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</si>
  <si>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</si>
  <si>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</si>
  <si>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</si>
  <si>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</si>
  <si>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</si>
  <si>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</si>
  <si>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</si>
  <si>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</si>
  <si>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</si>
  <si>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</si>
  <si>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</si>
  <si>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</si>
  <si>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</si>
  <si>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</si>
  <si>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</si>
  <si>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</si>
  <si>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</si>
  <si>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</si>
  <si>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</si>
  <si>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</si>
  <si>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</si>
  <si>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</si>
  <si>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</si>
  <si>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</si>
  <si>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</si>
  <si>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</si>
  <si>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</si>
  <si>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</si>
  <si>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</si>
  <si>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</si>
  <si>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</si>
  <si>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</si>
  <si>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</si>
  <si>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</si>
  <si>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</si>
  <si>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</si>
  <si>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</si>
  <si>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</si>
  <si>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</si>
  <si>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</si>
  <si>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</si>
  <si>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</si>
  <si>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</si>
  <si>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</si>
  <si>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</si>
  <si>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</si>
  <si>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</si>
  <si>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</si>
  <si>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</si>
  <si>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</si>
  <si>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</si>
  <si>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</si>
  <si>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</si>
  <si>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</si>
  <si>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</si>
  <si>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</si>
  <si>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</si>
  <si>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</si>
  <si>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</si>
  <si>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</si>
  <si>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</si>
  <si>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</si>
  <si>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</si>
  <si>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</si>
  <si>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</si>
  <si>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</si>
  <si>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</si>
  <si>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</si>
  <si>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</si>
  <si>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</si>
  <si>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</si>
  <si>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</si>
  <si>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</si>
  <si>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</si>
  <si>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</si>
  <si>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</si>
  <si>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</si>
  <si>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</si>
  <si>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</si>
  <si>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</si>
  <si>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</si>
  <si>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</si>
  <si>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</si>
  <si>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</si>
  <si>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</si>
  <si>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</si>
  <si>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</si>
  <si>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</si>
  <si>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</si>
  <si>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</si>
  <si>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</si>
  <si>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</si>
  <si>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</si>
  <si>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</si>
  <si>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</si>
  <si>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</si>
  <si>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</si>
  <si>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</si>
  <si>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</si>
  <si>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</si>
  <si>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</si>
  <si>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</si>
  <si>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</si>
  <si>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</si>
  <si>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</si>
  <si>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</si>
  <si>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</si>
  <si>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</si>
  <si>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</si>
  <si>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</si>
  <si>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</si>
  <si>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</si>
  <si>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</si>
  <si>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</si>
  <si>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</si>
  <si>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</si>
  <si>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</si>
  <si>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</si>
  <si>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</si>
  <si>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</si>
  <si>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</si>
  <si>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</si>
  <si>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</si>
  <si>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</si>
  <si>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</si>
  <si>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</si>
  <si>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</si>
  <si>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</si>
  <si>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</si>
  <si>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</si>
  <si>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</si>
  <si>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</si>
  <si>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</si>
  <si>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</si>
  <si>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</si>
  <si>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</si>
  <si>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</si>
  <si>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</si>
  <si>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</si>
  <si>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LAS PALMAS</t>
  </si>
  <si>
    <t>Resumenes por Partidos Judiciales</t>
  </si>
  <si>
    <t>TELDE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</si>
</sst>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AExZ/WrdHrwD0JRLj8yoaa/efnLluqYKiPwZYfRuAsYbXwjTWvFBlGa1TNLMjfvTy3vqLb0S5Ws1UrttM5rvQ==" saltValue="aJBUuFSXtMv2erBAn1V4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31.135932134922236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118</v>
      </c>
      <c r="D10" s="225">
        <f>IF(ISNUMBER(Datos!I10),Datos!I10," - ")</f>
        <v>118</v>
      </c>
      <c r="E10" s="226">
        <f>IF(ISNUMBER(Datos!J10),Datos!J10," - ")</f>
        <v>11</v>
      </c>
      <c r="F10" s="226">
        <f>IF(ISNUMBER(Datos!K10),Datos!K10," - ")</f>
        <v>38</v>
      </c>
      <c r="G10" s="1034" t="str">
        <f>IF(Datos!E10&lt;&gt;"",Datos!E10,Datos!D10)</f>
        <v>37</v>
      </c>
      <c r="H10" s="227">
        <f>IF(ISNUMBER(Datos!L10),Datos!L10," - ")</f>
        <v>91</v>
      </c>
      <c r="I10" s="1044" t="str">
        <f>IF(ISNUMBER(Datos!AS10/Datos!BM10),Datos!AS10/Datos!BM10," - ")</f>
        <v xml:space="preserve"> - </v>
      </c>
      <c r="J10" s="1045">
        <f>IF(ISNUMBER(Datos!BY10/Datos!CN10),Datos!BY10/Datos!CN10," - ")</f>
        <v>0</v>
      </c>
      <c r="K10" s="230">
        <f t="shared" ref="K10:K12" si="1">IF(ISNUMBER((E10-F10)/C10),(E10-F10)/C10," - ")</f>
        <v>-0.2288135593220339</v>
      </c>
      <c r="L10" s="1025">
        <f>IF(ISNUMBER(NºAsuntos!I10/NºAsuntos!G10),(NºAsuntos!I10/NºAsuntos!G10)*11," - ")</f>
        <v>26.342105263157897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118</v>
      </c>
      <c r="D13" s="1049">
        <f>SUBTOTAL(9,D9:D12)</f>
        <v>118</v>
      </c>
      <c r="E13" s="1050">
        <f>SUBTOTAL(9,E9:E12)</f>
        <v>11</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3189</v>
      </c>
      <c r="D15" s="225">
        <f>IF(ISNUMBER(IF(D_I="SI",Datos!I15,Datos!I15+Datos!AC15)),IF(D_I="SI",Datos!I15,Datos!I15+Datos!AC15)," - ")</f>
        <v>3187</v>
      </c>
      <c r="E15" s="226">
        <f>IF(ISNUMBER(IF(D_I="SI",Datos!J15,Datos!J15+Datos!AD15)),IF(D_I="SI",Datos!J15,Datos!J15+Datos!AD15)," - ")</f>
        <v>2461</v>
      </c>
      <c r="F15" s="226">
        <f>IF(ISNUMBER(IF(D_I="SI",Datos!K15,Datos!K15+Datos!AE15)),IF(D_I="SI",Datos!K15,Datos!K15+Datos!AE15)," - ")</f>
        <v>2344</v>
      </c>
      <c r="G15" s="1034" t="str">
        <f>IF(Datos!E15&lt;&gt;"",Datos!E15,Datos!D15)</f>
        <v>03</v>
      </c>
      <c r="H15" s="227">
        <f>IF(ISNUMBER(IF(D_I="SI",Datos!L15,Datos!L15+Datos!AF15)),IF(D_I="SI",Datos!L15,Datos!L15+Datos!AF15)," - ")</f>
        <v>3306</v>
      </c>
      <c r="I15" s="1044" t="str">
        <f>IF(ISNUMBER(Datos!AS15/Datos!BM15),Datos!AS15/Datos!BM15," - ")</f>
        <v xml:space="preserve"> - </v>
      </c>
      <c r="J15" s="1045">
        <f>IF(ISNUMBER(Datos!BY15/Datos!CN15),Datos!BY15/Datos!CN15," - ")</f>
        <v>0</v>
      </c>
      <c r="K15" s="230">
        <f t="shared" ref="K15:K17" si="3">IF(ISNUMBER((E15-F15)/C15),(E15-F15)/C15," - ")</f>
        <v>3.6688617121354655E-2</v>
      </c>
      <c r="L15" s="1025">
        <f>IF(ISNUMBER(NºAsuntos!I15/NºAsuntos!G15),(NºAsuntos!I15/NºAsuntos!G15)*11," - ")</f>
        <v>15.514505119453924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3</v>
      </c>
      <c r="D16" s="225">
        <f>IF(ISNUMBER(IF(D_I="SI",Datos!I16,Datos!I16+Datos!AC16)),IF(D_I="SI",Datos!I16,Datos!I16+Datos!AC16)," - ")</f>
        <v>3</v>
      </c>
      <c r="E16" s="226">
        <f>IF(ISNUMBER(IF(D_I="SI",Datos!J16,Datos!J16+Datos!AD16)),IF(D_I="SI",Datos!J16,Datos!J16+Datos!AD16)," - ")</f>
        <v>0</v>
      </c>
      <c r="F16" s="226">
        <f>IF(ISNUMBER(IF(D_I="SI",Datos!K16,Datos!K16+Datos!AE16)),IF(D_I="SI",Datos!K16,Datos!K16+Datos!AE16)," - ")</f>
        <v>2</v>
      </c>
      <c r="G16" s="1034" t="str">
        <f>IF(Datos!E16&lt;&gt;"",Datos!E16,Datos!D16)</f>
        <v>04</v>
      </c>
      <c r="H16" s="227">
        <f>IF(ISNUMBER(IF(D_I="SI",Datos!L16,Datos!L16+Datos!AF16)),IF(D_I="SI",Datos!L16,Datos!L16+Datos!AF16)," - ")</f>
        <v>1</v>
      </c>
      <c r="I16" s="1044" t="str">
        <f>IF(ISNUMBER(Datos!AS16/Datos!BM16),Datos!AS16/Datos!BM16," - ")</f>
        <v xml:space="preserve"> - </v>
      </c>
      <c r="J16" s="1045">
        <f>IF(ISNUMBER(Datos!BY16/Datos!CN16),Datos!BY16/Datos!CN16," - ")</f>
        <v>0</v>
      </c>
      <c r="K16" s="230">
        <f t="shared" si="3"/>
        <v>-0.66666666666666663</v>
      </c>
      <c r="L16" s="1025">
        <f>IF(ISNUMBER(NºAsuntos!I16/NºAsuntos!G16),(NºAsuntos!I16/NºAsuntos!G16)*11," - ")</f>
        <v>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126</v>
      </c>
      <c r="D17" s="225">
        <f>IF(ISNUMBER(IF(D_I="SI",Datos!I17,Datos!I17+Datos!AC17)),IF(D_I="SI",Datos!I17,Datos!I17+Datos!AC17)," - ")</f>
        <v>126</v>
      </c>
      <c r="E17" s="226">
        <f>IF(ISNUMBER(IF(D_I="SI",Datos!J17,Datos!J17+Datos!AD17)),IF(D_I="SI",Datos!J17,Datos!J17+Datos!AD17)," - ")</f>
        <v>10</v>
      </c>
      <c r="F17" s="226">
        <f>IF(ISNUMBER(IF(D_I="SI",Datos!K17,Datos!K17+Datos!AE17)),IF(D_I="SI",Datos!K17,Datos!K17+Datos!AE17)," - ")</f>
        <v>25</v>
      </c>
      <c r="G17" s="1034" t="str">
        <f>IF(Datos!E17&lt;&gt;"",Datos!E17,Datos!D17)</f>
        <v>37</v>
      </c>
      <c r="H17" s="227">
        <f>IF(ISNUMBER(IF(D_I="SI",Datos!L17,Datos!L17+Datos!AF17)),IF(D_I="SI",Datos!L17,Datos!L17+Datos!AF17)," - ")</f>
        <v>111</v>
      </c>
      <c r="I17" s="1044" t="str">
        <f>IF(ISNUMBER(Datos!AS17/Datos!BM17),Datos!AS17/Datos!BM17," - ")</f>
        <v xml:space="preserve"> - </v>
      </c>
      <c r="J17" s="1045" t="str">
        <f>IF(ISNUMBER((Datos!BY17+Datos!BZ17)/Datos!CN17),(Datos!BY17+Datos!BZ17)/Datos!CN17," - ")</f>
        <v xml:space="preserve"> - </v>
      </c>
      <c r="K17" s="230">
        <f t="shared" si="3"/>
        <v>-0.11904761904761904</v>
      </c>
      <c r="L17" s="1025">
        <f>IF(ISNUMBER(NºAsuntos!I17/NºAsuntos!G17),(NºAsuntos!I17/NºAsuntos!G17)*11," - ")</f>
        <v>48.84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3318</v>
      </c>
      <c r="D18" s="1049">
        <f>SUBTOTAL(9,D15:D17)</f>
        <v>3316</v>
      </c>
      <c r="E18" s="1050">
        <f>SUBTOTAL(9,E15:E17)</f>
        <v>2471</v>
      </c>
      <c r="F18" s="1050">
        <f>SUBTOTAL(9,F15:F17)</f>
        <v>2371</v>
      </c>
      <c r="G18" s="1052" t="str">
        <f ca="1">INDIRECT(CONCATENATE("G",ROW()-1))</f>
        <v>37</v>
      </c>
      <c r="H18" s="1053">
        <f ca="1">SUMIF(G$14:G17,G18,H$14:H17)</f>
        <v>111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3436</v>
      </c>
      <c r="D19" s="1071">
        <f>SUBTOTAL(9,D9:D18)</f>
        <v>3434</v>
      </c>
      <c r="E19" s="1072">
        <f>SUBTOTAL(9,E9:E18)</f>
        <v>2482</v>
      </c>
      <c r="F19" s="1072">
        <f>SUBTOTAL(9,F9:F18)</f>
        <v>2409</v>
      </c>
      <c r="G19" s="1073"/>
      <c r="H19" s="1074">
        <f ca="1">SUMIF(B9:B18,"TOTAL",H9:H18)</f>
        <v>111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4Ijidnlc3JhftQjLpHMQufH9E4V0PC8XsbZH4RlXuoW7Aii8nho/KEkJ9xuEwrz+antARxWnQDNsuGvL02Hdww==" saltValue="3PmXkrFGn7smpZzoFVYMC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NtOLq6X7KpddusoOcdn5Fyqu6xRpO6UWq5DTlgv0zLrlnUAcfd/1JZSY/uzPJ9IQBKFrr+uyLlenEneMf3lNg==" saltValue="/jkGixlkZb08bAZGX6zi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12533</v>
      </c>
      <c r="J9" s="181">
        <v>6007</v>
      </c>
      <c r="K9" s="181">
        <v>4823</v>
      </c>
      <c r="L9" s="181">
        <v>13717</v>
      </c>
      <c r="M9" s="181">
        <v>1421</v>
      </c>
      <c r="N9" s="181">
        <v>2423</v>
      </c>
      <c r="O9" s="181">
        <v>1107</v>
      </c>
      <c r="P9" s="181">
        <v>602</v>
      </c>
      <c r="Q9" s="181">
        <v>420</v>
      </c>
      <c r="R9" s="181">
        <v>10556</v>
      </c>
      <c r="S9" s="181">
        <v>9796</v>
      </c>
      <c r="T9" s="181">
        <v>3859</v>
      </c>
      <c r="U9" s="181">
        <v>3724</v>
      </c>
      <c r="V9" s="181">
        <v>9931</v>
      </c>
      <c r="W9" s="181">
        <v>988</v>
      </c>
      <c r="X9" s="188">
        <v>1922</v>
      </c>
      <c r="Y9" s="191">
        <v>290</v>
      </c>
      <c r="Z9" s="181">
        <v>135</v>
      </c>
      <c r="AA9" s="181">
        <v>128</v>
      </c>
      <c r="AB9" s="181">
        <v>297</v>
      </c>
      <c r="AC9" s="181">
        <v>0</v>
      </c>
      <c r="AD9" s="181">
        <v>0</v>
      </c>
      <c r="AE9" s="181">
        <v>0</v>
      </c>
      <c r="AF9" s="188">
        <v>0</v>
      </c>
      <c r="AG9" s="191">
        <v>265</v>
      </c>
      <c r="AH9" s="181">
        <v>156</v>
      </c>
      <c r="AI9" s="181">
        <v>147</v>
      </c>
      <c r="AJ9" s="192">
        <v>274</v>
      </c>
      <c r="AK9" s="180">
        <v>0</v>
      </c>
      <c r="AL9" s="181">
        <v>0</v>
      </c>
      <c r="AM9" s="181">
        <v>0</v>
      </c>
      <c r="AN9" s="188">
        <v>0</v>
      </c>
      <c r="AO9" s="258">
        <v>6</v>
      </c>
      <c r="AP9" s="154">
        <v>6</v>
      </c>
      <c r="AQ9" s="154">
        <v>6</v>
      </c>
      <c r="AR9" s="193">
        <v>6</v>
      </c>
      <c r="AS9" s="338" t="s">
        <v>790</v>
      </c>
      <c r="AT9" s="195"/>
      <c r="AU9" s="194"/>
      <c r="AV9" s="195"/>
      <c r="AW9" s="194"/>
      <c r="AX9" s="195"/>
      <c r="AY9" s="123">
        <f>IF(ISNUMBER(IF(J_V="SI",S9,S9+AG9)),IF(J_V="SI",S9,S9+AG9)," - ")</f>
        <v>10061</v>
      </c>
      <c r="AZ9" s="123">
        <f>IF(ISNUMBER(IF(J_V="SI",T9,T9+AH9)),IF(J_V="SI",T9,T9+AH9)," - ")</f>
        <v>4015</v>
      </c>
      <c r="BA9" s="124">
        <f>IF(ISNUMBER(IF(J_V="SI",U9,U9+AI9)),IF(J_V="SI",U9,U9+AI9)," - ")</f>
        <v>3871</v>
      </c>
      <c r="BB9" s="124">
        <f>IF(ISNUMBER(IF(J_V="SI",V9,V9+AJ9)),IF(J_V="SI",V9,V9+AJ9)," - ")</f>
        <v>10205</v>
      </c>
      <c r="BC9" s="125">
        <f>IF(ISNUMBER(X9),X9," - ")</f>
        <v>1922</v>
      </c>
      <c r="BD9" s="126">
        <f>IF(ISNUMBER(BA9/AZ9),BA9/AZ9," - ")</f>
        <v>0.9641344956413449</v>
      </c>
      <c r="BE9" s="127">
        <f>IF(ISNUMBER(BB9/BA9),BB9/BA9, " - ")</f>
        <v>2.6362696977525188</v>
      </c>
      <c r="BF9" s="127">
        <f>IF(ISNUMBER(BC9/BA9),BC9/BA9, " - ")</f>
        <v>0.49651252906225779</v>
      </c>
      <c r="BG9" s="196">
        <f>IF(ISNUMBER((AY9+AZ9)/BA9),(AY9+AZ9)/BA9," - ")</f>
        <v>3.6362696977525188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118</v>
      </c>
      <c r="J10" s="181">
        <v>11</v>
      </c>
      <c r="K10" s="181">
        <v>38</v>
      </c>
      <c r="L10" s="181">
        <v>91</v>
      </c>
      <c r="M10" s="181">
        <v>24</v>
      </c>
      <c r="N10" s="181">
        <v>7</v>
      </c>
      <c r="O10" s="181">
        <v>0</v>
      </c>
      <c r="P10" s="181">
        <v>3</v>
      </c>
      <c r="Q10" s="181">
        <v>0</v>
      </c>
      <c r="R10" s="181">
        <v>123</v>
      </c>
      <c r="S10" s="181">
        <v>196</v>
      </c>
      <c r="T10" s="181">
        <v>64</v>
      </c>
      <c r="U10" s="181">
        <v>66</v>
      </c>
      <c r="V10" s="181">
        <v>194</v>
      </c>
      <c r="W10" s="181">
        <v>21</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784</v>
      </c>
      <c r="AT10" s="192"/>
      <c r="AU10" s="200"/>
      <c r="AV10" s="192"/>
      <c r="AW10" s="200"/>
      <c r="AX10" s="192"/>
      <c r="AY10" s="128">
        <f t="shared" ref="AY10:BC10" si="0">IF(ISNUMBER(S10),S10," - ")</f>
        <v>196</v>
      </c>
      <c r="AZ10" s="129">
        <f t="shared" si="0"/>
        <v>64</v>
      </c>
      <c r="BA10" s="129">
        <f t="shared" si="0"/>
        <v>66</v>
      </c>
      <c r="BB10" s="129">
        <f t="shared" si="0"/>
        <v>194</v>
      </c>
      <c r="BC10" s="125">
        <f t="shared" si="0"/>
        <v>21</v>
      </c>
      <c r="BD10" s="126">
        <f>IF(ISNUMBER(BA10/AZ10),BA10/AZ10," - ")</f>
        <v>1.03125</v>
      </c>
      <c r="BE10" s="127">
        <f>IF(ISNUMBER(BB10/BA10),BB10/BA10, " - ")</f>
        <v>2.9393939393939394</v>
      </c>
      <c r="BF10" s="127">
        <f>IF(ISNUMBER(BC10/BA10),BC10/BA10, " - ")</f>
        <v>0.31818181818181818</v>
      </c>
      <c r="BG10" s="196">
        <f>IF(ISNUMBER((AY10+AZ10)/BA10),(AY10+AZ10)/BA10," - ")</f>
        <v>3.9393939393939394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797</v>
      </c>
      <c r="J12" s="183" t="s">
        <v>791</v>
      </c>
      <c r="K12" s="183" t="s">
        <v>840</v>
      </c>
      <c r="L12" s="183" t="s">
        <v>802</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793</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12651</v>
      </c>
      <c r="J13" s="184">
        <f t="shared" si="6"/>
        <v>6018</v>
      </c>
      <c r="K13" s="184">
        <f t="shared" si="6"/>
        <v>4861</v>
      </c>
      <c r="L13" s="184">
        <f t="shared" si="6"/>
        <v>13808</v>
      </c>
      <c r="M13" s="184">
        <f t="shared" si="6"/>
        <v>1445</v>
      </c>
      <c r="N13" s="184">
        <f t="shared" si="6"/>
        <v>2430</v>
      </c>
      <c r="O13" s="184">
        <f t="shared" si="6"/>
        <v>1107</v>
      </c>
      <c r="P13" s="184">
        <f t="shared" si="6"/>
        <v>605</v>
      </c>
      <c r="Q13" s="184">
        <f t="shared" si="6"/>
        <v>420</v>
      </c>
      <c r="R13" s="184">
        <f t="shared" si="6"/>
        <v>10679</v>
      </c>
      <c r="S13" s="184">
        <f t="shared" si="6"/>
        <v>9992</v>
      </c>
      <c r="T13" s="184">
        <f t="shared" si="6"/>
        <v>3923</v>
      </c>
      <c r="U13" s="184">
        <f t="shared" si="6"/>
        <v>3790</v>
      </c>
      <c r="V13" s="184">
        <f t="shared" si="6"/>
        <v>10125</v>
      </c>
      <c r="W13" s="184">
        <f t="shared" si="6"/>
        <v>1009</v>
      </c>
      <c r="X13" s="184">
        <f t="shared" si="6"/>
        <v>1945</v>
      </c>
      <c r="Y13" s="184">
        <f t="shared" si="6"/>
        <v>290</v>
      </c>
      <c r="Z13" s="184">
        <f t="shared" si="6"/>
        <v>135</v>
      </c>
      <c r="AA13" s="184">
        <f t="shared" si="6"/>
        <v>128</v>
      </c>
      <c r="AB13" s="184">
        <f t="shared" si="6"/>
        <v>297</v>
      </c>
      <c r="AC13" s="184">
        <f t="shared" si="6"/>
        <v>0</v>
      </c>
      <c r="AD13" s="184">
        <f t="shared" si="6"/>
        <v>0</v>
      </c>
      <c r="AE13" s="184">
        <f t="shared" si="6"/>
        <v>0</v>
      </c>
      <c r="AF13" s="184">
        <f>SUBTOTAL(9,AF9:AF12)</f>
        <v>0</v>
      </c>
      <c r="AG13" s="184">
        <f t="shared" ref="AG13:AT13" si="7">SUBTOTAL(9,AG8:AG12)</f>
        <v>265</v>
      </c>
      <c r="AH13" s="184">
        <f t="shared" si="7"/>
        <v>156</v>
      </c>
      <c r="AI13" s="184">
        <f t="shared" si="7"/>
        <v>147</v>
      </c>
      <c r="AJ13" s="184">
        <f t="shared" si="7"/>
        <v>274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10257</v>
      </c>
      <c r="AZ13" s="184">
        <f>SUBTOTAL(9,AZ8:AZ12)</f>
        <v>4079</v>
      </c>
      <c r="BA13" s="184">
        <f>SUBTOTAL(9,BA8:BA12)</f>
        <v>3937</v>
      </c>
      <c r="BB13" s="184">
        <f>SUBTOTAL(9,BB8:BB12)</f>
        <v>10399</v>
      </c>
      <c r="BC13" s="184">
        <f>SUBTOTAL(9,BC8:BC12)</f>
        <v>1943</v>
      </c>
      <c r="BD13" s="205">
        <f>IF(ISNUMBER(BA13/AZ13),BA13/AZ13," - ")</f>
        <v>0.96518754596714884</v>
      </c>
      <c r="BE13" s="206">
        <f>IF(ISNUMBER(BB13/BA13),BB13/BA13, " - ")</f>
        <v>2.6413512827025656</v>
      </c>
      <c r="BF13" s="206">
        <f>IF(ISNUMBER(BC13/BA13),BC13/BA13, " - ")</f>
        <v>0.49352298704597408</v>
      </c>
      <c r="BG13" s="207">
        <f>IF(ISNUMBER((AY13+AZ13)/BA13),(AY13+AZ13)/BA13," - ")</f>
        <v>3.6413512827025656</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3187</v>
      </c>
      <c r="J15" s="183">
        <v>2461</v>
      </c>
      <c r="K15" s="183">
        <v>2344</v>
      </c>
      <c r="L15" s="183">
        <v>3306</v>
      </c>
      <c r="M15" s="183">
        <v>417</v>
      </c>
      <c r="N15" s="183">
        <v>1367</v>
      </c>
      <c r="O15" s="181">
        <v>39</v>
      </c>
      <c r="P15" s="183">
        <v>110</v>
      </c>
      <c r="Q15" s="183">
        <v>65</v>
      </c>
      <c r="R15" s="183">
        <v>455</v>
      </c>
      <c r="S15" s="183">
        <v>2578</v>
      </c>
      <c r="T15" s="183">
        <v>2518</v>
      </c>
      <c r="U15" s="183">
        <v>2379</v>
      </c>
      <c r="V15" s="183">
        <v>2703</v>
      </c>
      <c r="W15" s="183">
        <v>318</v>
      </c>
      <c r="X15" s="189">
        <v>1596</v>
      </c>
      <c r="Y15" s="202">
        <v>0</v>
      </c>
      <c r="Z15" s="183">
        <v>0</v>
      </c>
      <c r="AA15" s="183">
        <v>0</v>
      </c>
      <c r="AB15" s="183">
        <v>0</v>
      </c>
      <c r="AC15" s="183">
        <v>0</v>
      </c>
      <c r="AD15" s="183">
        <v>1</v>
      </c>
      <c r="AE15" s="183">
        <v>1</v>
      </c>
      <c r="AF15" s="189">
        <v>0</v>
      </c>
      <c r="AG15" s="202">
        <v>0</v>
      </c>
      <c r="AH15" s="183">
        <v>0</v>
      </c>
      <c r="AI15" s="183">
        <v>0</v>
      </c>
      <c r="AJ15" s="203">
        <v>0</v>
      </c>
      <c r="AK15" s="182">
        <v>0</v>
      </c>
      <c r="AL15" s="183">
        <v>0</v>
      </c>
      <c r="AM15" s="183">
        <v>0</v>
      </c>
      <c r="AN15" s="189">
        <v>0</v>
      </c>
      <c r="AO15" s="259">
        <v>3</v>
      </c>
      <c r="AP15" s="155">
        <v>3</v>
      </c>
      <c r="AQ15" s="155">
        <v>3</v>
      </c>
      <c r="AR15" s="155">
        <v>3</v>
      </c>
      <c r="AS15" s="340" t="s">
        <v>518</v>
      </c>
      <c r="AT15" s="203" t="s">
        <v>326</v>
      </c>
      <c r="AU15" s="202"/>
      <c r="AV15" s="203"/>
      <c r="AW15" s="202"/>
      <c r="AX15" s="203"/>
      <c r="AY15" s="128">
        <f t="shared" ref="AY15:BB16" si="9">IF(ISNUMBER(IF(D_I="SI",S15,S15+AK15)),IF(D_I="SI",S15,S15+AK15)," - ")</f>
        <v>2578</v>
      </c>
      <c r="AZ15" s="129">
        <f t="shared" si="9"/>
        <v>2518</v>
      </c>
      <c r="BA15" s="129">
        <f t="shared" si="9"/>
        <v>2379</v>
      </c>
      <c r="BB15" s="129">
        <f t="shared" si="9"/>
        <v>2703</v>
      </c>
      <c r="BC15" s="125">
        <f>IF(ISNUMBER(W15),W15," - ")</f>
        <v>318</v>
      </c>
      <c r="BD15" s="126">
        <f>IF(ISNUMBER(BA15/AZ15),BA15/AZ15," - ")</f>
        <v>0.94479745830023831</v>
      </c>
      <c r="BE15" s="127">
        <f>IF(ISNUMBER(BB15/BA15),BB15/BA15, " - ")</f>
        <v>1.1361916771752838</v>
      </c>
      <c r="BF15" s="127">
        <f>IF(ISNUMBER(BC15/BA15),BC15/BA15, " - ")</f>
        <v>0.13366960907944514</v>
      </c>
      <c r="BG15" s="196">
        <f t="shared" ref="BG15:BG16" si="10">IF(ISNUMBER((AY15+AZ15)/BA15),(AY15+AZ15)/BA15," - ")</f>
        <v>2.1420765027322406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v>
      </c>
      <c r="J16" s="183">
        <v>0</v>
      </c>
      <c r="K16" s="183">
        <v>2</v>
      </c>
      <c r="L16" s="183">
        <v>1</v>
      </c>
      <c r="M16" s="183">
        <v>0</v>
      </c>
      <c r="N16" s="183">
        <v>2</v>
      </c>
      <c r="O16" s="181">
        <v>0</v>
      </c>
      <c r="P16" s="183">
        <v>0</v>
      </c>
      <c r="Q16" s="183">
        <v>0</v>
      </c>
      <c r="R16" s="183">
        <v>0</v>
      </c>
      <c r="S16" s="183">
        <v>4</v>
      </c>
      <c r="T16" s="183">
        <v>0</v>
      </c>
      <c r="U16" s="183">
        <v>0</v>
      </c>
      <c r="V16" s="183">
        <v>4</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4</v>
      </c>
      <c r="AZ16" s="127">
        <f t="shared" si="9"/>
        <v>0</v>
      </c>
      <c r="BA16" s="127">
        <f t="shared" si="9"/>
        <v>0</v>
      </c>
      <c r="BB16" s="127">
        <f t="shared" si="9"/>
        <v>4</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126</v>
      </c>
      <c r="J17" s="183">
        <v>10</v>
      </c>
      <c r="K17" s="183">
        <v>25</v>
      </c>
      <c r="L17" s="183">
        <v>111</v>
      </c>
      <c r="M17" s="183">
        <v>0</v>
      </c>
      <c r="N17" s="183">
        <v>0</v>
      </c>
      <c r="O17" s="183">
        <v>0</v>
      </c>
      <c r="P17" s="183">
        <v>0</v>
      </c>
      <c r="Q17" s="183">
        <v>8</v>
      </c>
      <c r="R17" s="183">
        <v>4</v>
      </c>
      <c r="S17" s="183">
        <v>154</v>
      </c>
      <c r="T17" s="183">
        <v>132</v>
      </c>
      <c r="U17" s="183">
        <v>135</v>
      </c>
      <c r="V17" s="183">
        <v>151</v>
      </c>
      <c r="W17" s="183">
        <v>59</v>
      </c>
      <c r="X17" s="189">
        <v>76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783</v>
      </c>
      <c r="AT17" s="209"/>
      <c r="AU17" s="200"/>
      <c r="AV17" s="209"/>
      <c r="AW17" s="200"/>
      <c r="AX17" s="209"/>
      <c r="AY17" s="128">
        <f t="shared" ref="AY17:BB17" si="14">IF(ISNUMBER(S17),S17," - ")</f>
        <v>154</v>
      </c>
      <c r="AZ17" s="129">
        <f t="shared" si="14"/>
        <v>132</v>
      </c>
      <c r="BA17" s="129">
        <f t="shared" si="14"/>
        <v>135</v>
      </c>
      <c r="BB17" s="129">
        <f t="shared" si="14"/>
        <v>151</v>
      </c>
      <c r="BC17" s="125">
        <f>IF(ISNUMBER(W17),W17," - ")</f>
        <v>59</v>
      </c>
      <c r="BD17" s="126">
        <f>IF(ISNUMBER(BA17/AZ17),BA17/AZ17," - ")</f>
        <v>1.0227272727272727</v>
      </c>
      <c r="BE17" s="127">
        <f>IF(ISNUMBER(BB17/BA17),BB17/BA17, " - ")</f>
        <v>1.1185185185185185</v>
      </c>
      <c r="BF17" s="127">
        <f>IF(ISNUMBER(BC17/BA17),BC17/BA17, " - ")</f>
        <v>0.43703703703703706</v>
      </c>
      <c r="BG17" s="196">
        <f>IF(ISNUMBER((AY17+AZ17)/BA17),(AY17+AZ17)/BA17," - ")</f>
        <v>2.1185185185185187</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3316</v>
      </c>
      <c r="J18" s="184">
        <f t="shared" si="15"/>
        <v>2471</v>
      </c>
      <c r="K18" s="184">
        <f t="shared" si="15"/>
        <v>2371</v>
      </c>
      <c r="L18" s="184">
        <f t="shared" si="15"/>
        <v>3418</v>
      </c>
      <c r="M18" s="184">
        <f t="shared" si="15"/>
        <v>417</v>
      </c>
      <c r="N18" s="184">
        <f t="shared" si="15"/>
        <v>1369</v>
      </c>
      <c r="O18" s="184">
        <f t="shared" si="15"/>
        <v>39</v>
      </c>
      <c r="P18" s="184">
        <f t="shared" si="15"/>
        <v>110</v>
      </c>
      <c r="Q18" s="184">
        <f t="shared" si="15"/>
        <v>73</v>
      </c>
      <c r="R18" s="184">
        <f t="shared" si="15"/>
        <v>459</v>
      </c>
      <c r="S18" s="184">
        <f t="shared" si="15"/>
        <v>2736</v>
      </c>
      <c r="T18" s="184">
        <f t="shared" si="15"/>
        <v>2650</v>
      </c>
      <c r="U18" s="184">
        <f t="shared" si="15"/>
        <v>2514</v>
      </c>
      <c r="V18" s="184">
        <f t="shared" si="15"/>
        <v>2858</v>
      </c>
      <c r="W18" s="184">
        <f t="shared" si="15"/>
        <v>377</v>
      </c>
      <c r="X18" s="184">
        <f t="shared" si="15"/>
        <v>1672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2736</v>
      </c>
      <c r="AZ18" s="184">
        <f>SUBTOTAL(9,AZ14:AZ17)</f>
        <v>2650</v>
      </c>
      <c r="BA18" s="184">
        <f>SUBTOTAL(9,BA14:BA17)</f>
        <v>2514</v>
      </c>
      <c r="BB18" s="184">
        <f>SUBTOTAL(9,BB14:BB17)</f>
        <v>2858</v>
      </c>
      <c r="BC18" s="184">
        <f>SUBTOTAL(9,BC14:BC17)</f>
        <v>377</v>
      </c>
      <c r="BD18" s="205">
        <f>IF(ISNUMBER(BA18/AZ18),BA18/AZ18," - ")</f>
        <v>0.94867924528301883</v>
      </c>
      <c r="BE18" s="206">
        <f>IF(ISNUMBER(BB18/BA18),BB18/BA18, " - ")</f>
        <v>1.1368337311058074</v>
      </c>
      <c r="BF18" s="206">
        <f>IF(ISNUMBER(BC18/BA18),BC18/BA18, " - ")</f>
        <v>0.14996022275258553</v>
      </c>
      <c r="BG18" s="207">
        <f>IF(ISNUMBER((AY18+AZ18)/BA18),(AY18+AZ18)/BA18," - ")</f>
        <v>2.1424025457438347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15967</v>
      </c>
      <c r="J19" s="134">
        <f t="shared" si="18"/>
        <v>8489</v>
      </c>
      <c r="K19" s="134">
        <f t="shared" si="18"/>
        <v>7232</v>
      </c>
      <c r="L19" s="134">
        <f t="shared" si="18"/>
        <v>17226</v>
      </c>
      <c r="M19" s="134">
        <f t="shared" si="18"/>
        <v>1862</v>
      </c>
      <c r="N19" s="134">
        <f t="shared" si="18"/>
        <v>3799</v>
      </c>
      <c r="O19" s="134">
        <f t="shared" si="18"/>
        <v>1146</v>
      </c>
      <c r="P19" s="134">
        <f t="shared" si="18"/>
        <v>715</v>
      </c>
      <c r="Q19" s="134">
        <f t="shared" si="18"/>
        <v>493</v>
      </c>
      <c r="R19" s="134">
        <f t="shared" si="18"/>
        <v>11138</v>
      </c>
      <c r="S19" s="134">
        <f t="shared" si="18"/>
        <v>12728</v>
      </c>
      <c r="T19" s="134">
        <f t="shared" si="18"/>
        <v>6573</v>
      </c>
      <c r="U19" s="134">
        <f t="shared" si="18"/>
        <v>6304</v>
      </c>
      <c r="V19" s="134">
        <f t="shared" si="18"/>
        <v>12983</v>
      </c>
      <c r="W19" s="134">
        <f t="shared" si="18"/>
        <v>1386</v>
      </c>
      <c r="X19" s="134">
        <f t="shared" si="18"/>
        <v>3617</v>
      </c>
      <c r="Y19" s="134">
        <f t="shared" si="18"/>
        <v>290</v>
      </c>
      <c r="Z19" s="134">
        <f t="shared" si="18"/>
        <v>135</v>
      </c>
      <c r="AA19" s="134">
        <f t="shared" si="18"/>
        <v>128</v>
      </c>
      <c r="AB19" s="134">
        <f t="shared" si="18"/>
        <v>297</v>
      </c>
      <c r="AC19" s="134">
        <f t="shared" si="18"/>
        <v>0</v>
      </c>
      <c r="AD19" s="134">
        <f t="shared" si="18"/>
        <v>1</v>
      </c>
      <c r="AE19" s="134">
        <f t="shared" si="18"/>
        <v>1</v>
      </c>
      <c r="AF19" s="134">
        <f t="shared" si="18"/>
        <v>0</v>
      </c>
      <c r="AG19" s="134">
        <f t="shared" si="18"/>
        <v>265</v>
      </c>
      <c r="AH19" s="134">
        <f t="shared" si="18"/>
        <v>156</v>
      </c>
      <c r="AI19" s="134">
        <f t="shared" si="18"/>
        <v>147</v>
      </c>
      <c r="AJ19" s="134">
        <f t="shared" si="18"/>
        <v>274</v>
      </c>
      <c r="AK19" s="134">
        <f t="shared" si="18"/>
        <v>0</v>
      </c>
      <c r="AL19" s="134">
        <f t="shared" si="18"/>
        <v>0</v>
      </c>
      <c r="AM19" s="134">
        <f t="shared" si="18"/>
        <v>0</v>
      </c>
      <c r="AN19" s="210">
        <f t="shared" si="18"/>
        <v>0</v>
      </c>
      <c r="AO19" s="211">
        <v>10</v>
      </c>
      <c r="AP19" s="211">
        <v>9</v>
      </c>
      <c r="AQ19" s="211">
        <v>9</v>
      </c>
      <c r="AR19" s="211">
        <v>9</v>
      </c>
      <c r="AS19" s="153">
        <f t="shared" si="18"/>
        <v>0</v>
      </c>
      <c r="AT19" s="153">
        <f t="shared" si="18"/>
        <v>0</v>
      </c>
      <c r="AU19" s="211"/>
      <c r="AV19" s="212"/>
      <c r="AW19" s="211"/>
      <c r="AX19" s="212"/>
      <c r="AY19" s="133">
        <f>SUBTOTAL(9,AY9:AY18)</f>
        <v>12993</v>
      </c>
      <c r="AZ19" s="134">
        <f>SUBTOTAL(9,AZ9:AZ18)</f>
        <v>6729</v>
      </c>
      <c r="BA19" s="134">
        <f>SUBTOTAL(9,BA9:BA18)</f>
        <v>6451</v>
      </c>
      <c r="BB19" s="134">
        <f>SUBTOTAL(9,BB9:BB18)</f>
        <v>13257</v>
      </c>
      <c r="BC19" s="135">
        <f>SUBTOTAL(9,BC9:BC18)</f>
        <v>2320</v>
      </c>
      <c r="BD19" s="213">
        <f>IF(ISNUMBER(BA19/AZ19),BA19/AZ19," - ")</f>
        <v>0.95868628325159755</v>
      </c>
      <c r="BE19" s="210">
        <f>IF(ISNUMBER(BB19/BA19),BB19/BA19, " - ")</f>
        <v>2.0550302278716477</v>
      </c>
      <c r="BF19" s="210">
        <f>IF(ISNUMBER(BC19/BA19),BC19/BA19, " - ")</f>
        <v>0.35963416524569836</v>
      </c>
      <c r="BG19" s="135">
        <f>IF(ISNUMBER((AY19+AZ19)/BA19),(AY19+AZ19)/BA19," - ")</f>
        <v>3.057200434041234</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j8Cm1et8/t8FMBHpnYWWG8gDWtajZ4YovFA0/dMetxNeRYDnm8vg56TwprFCdFZjRVz5fEBlrcxNT339MDlIA==" saltValue="fS3OCUj4sPeMpFNplW6PX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d4YqIZjoY+nfuEw/b3WgK8LVHhIBlLcb/LE8rYcYOiRf/TEGLxeWb634NylDr5duH+oDxizwb5r/qBQksYotw==" saltValue="i5Sj9f9EiRYASMcr0Taps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TELDE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135</v>
      </c>
      <c r="O9" s="334"/>
      <c r="P9" s="334"/>
      <c r="Q9" s="226">
        <f>IF(ISNUMBER(Datos!P9),Datos!P9,0)</f>
        <v>602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420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297</v>
      </c>
      <c r="AI9" s="334" t="str">
        <f>IF(ISNUMBER(Datos!CD9),Datos!CD9,"-")</f>
        <v>-</v>
      </c>
      <c r="AJ9" s="334" t="str">
        <f>IF(ISNUMBER(Datos!EN9),Datos!EN9," - ")</f>
        <v xml:space="preserve"> - </v>
      </c>
      <c r="AK9" s="334"/>
      <c r="AL9" s="479"/>
      <c r="AM9" s="335">
        <f>IF(ISNUMBER(Datos!R9),Datos!R9," - ")</f>
        <v>10556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1421</v>
      </c>
      <c r="BD9" s="229">
        <f>IF(ISNUMBER(Datos!N9),Datos!N9," - ")</f>
        <v>2423</v>
      </c>
      <c r="BE9" s="229" t="str">
        <f>IF(ISNUMBER(Datos!BW9),Datos!BW9," - ")</f>
        <v xml:space="preserve"> - </v>
      </c>
      <c r="BF9" s="228" t="str">
        <f>IF(ISNUMBER(Datos!BX9),Datos!BX9," - ")</f>
        <v xml:space="preserve"> - </v>
      </c>
      <c r="BG9" s="243">
        <f>IF(ISNUMBER(IF(J_V="SI",Datos!K9/Datos!J9,(Datos!K9+Datos!AA9)/(Datos!J9+Datos!Z9))),IF(J_V="SI",Datos!K9/Datos!J9,(Datos!K9+Datos!AA9)/(Datos!J9+Datos!Z9))," - ")</f>
        <v>0.80608922175187236</v>
      </c>
      <c r="BH9" s="260">
        <f>IF(ISNUMBER(((IF(J_V="SI",Datos!L9/Datos!K9,(Datos!L9+Datos!AB9)/(Datos!K9+Datos!AA9)))*11)/factor_trimestre),((IF(J_V="SI",Datos!L9/Datos!K9,(Datos!L9+Datos!AB9)/(Datos!K9+Datos!AA9)))*11)/factor_trimestre," - ")</f>
        <v>8.4916178549787915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1.7543859649122806E-2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118</v>
      </c>
      <c r="G10" s="333">
        <f>IF(ISNUMBER(Datos!I10),Datos!I10," - ")</f>
        <v>118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0</v>
      </c>
      <c r="AD10" s="334"/>
      <c r="AE10" s="484"/>
      <c r="AF10" s="332">
        <f>IF(ISNUMBER(Datos!L10),Datos!L10,"-")</f>
        <v>91</v>
      </c>
      <c r="AG10" s="334"/>
      <c r="AH10" s="334"/>
      <c r="AI10" s="334"/>
      <c r="AJ10" s="334"/>
      <c r="AK10" s="334"/>
      <c r="AL10" s="479"/>
      <c r="AM10" s="335">
        <f>IF(ISNUMBER(Datos!R10),Datos!R10," - ")</f>
        <v>123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7</v>
      </c>
      <c r="BE10" s="229" t="str">
        <f>IF(ISNUMBER(Datos!BW10),Datos!BW10," - ")</f>
        <v xml:space="preserve"> - </v>
      </c>
      <c r="BF10" s="228" t="str">
        <f>IF(ISNUMBER(Datos!BX10),Datos!BX10," - ")</f>
        <v xml:space="preserve"> - </v>
      </c>
      <c r="BG10" s="243">
        <f>IF(ISNUMBER(Datos!K10/Datos!J10),Datos!K10/Datos!J10," - ")</f>
        <v>3.4545454545454546</v>
      </c>
      <c r="BH10" s="260">
        <f>IF(ISNUMBER(((Datos!L10/Datos!K10)*11)/factor_trimestre),((Datos!L10/Datos!K10)*11)/factor_trimestre," - ")</f>
        <v>7.1842105263157903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2.5000000000000001E-2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118</v>
      </c>
      <c r="G13" s="898">
        <f t="shared" si="0"/>
        <v>118</v>
      </c>
      <c r="H13" s="899">
        <f t="shared" si="0"/>
        <v>0</v>
      </c>
      <c r="I13" s="898">
        <f t="shared" si="0"/>
        <v>0</v>
      </c>
      <c r="J13" s="867">
        <f t="shared" si="0"/>
        <v>0</v>
      </c>
      <c r="K13" s="867">
        <f t="shared" si="0"/>
        <v>0</v>
      </c>
      <c r="L13" s="899">
        <f t="shared" si="0"/>
        <v>0</v>
      </c>
      <c r="M13" s="899">
        <f t="shared" si="0"/>
        <v>0</v>
      </c>
      <c r="N13" s="899">
        <f t="shared" si="0"/>
        <v>135</v>
      </c>
      <c r="O13" s="900">
        <f t="shared" si="0"/>
        <v>0</v>
      </c>
      <c r="P13" s="900">
        <f t="shared" si="0"/>
        <v>0</v>
      </c>
      <c r="Q13" s="899">
        <f t="shared" si="0"/>
        <v>605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420</v>
      </c>
      <c r="AD13" s="899">
        <f t="shared" si="1"/>
        <v>0</v>
      </c>
      <c r="AE13" s="899">
        <f t="shared" si="1"/>
        <v>0</v>
      </c>
      <c r="AF13" s="899">
        <f t="shared" si="1"/>
        <v>91</v>
      </c>
      <c r="AG13" s="899">
        <f t="shared" si="1"/>
        <v>0</v>
      </c>
      <c r="AH13" s="899">
        <f t="shared" si="1"/>
        <v>297</v>
      </c>
      <c r="AI13" s="899">
        <f t="shared" si="1"/>
        <v>0</v>
      </c>
      <c r="AJ13" s="899">
        <f t="shared" si="1"/>
        <v>0</v>
      </c>
      <c r="AK13" s="899">
        <f t="shared" si="1"/>
        <v>0</v>
      </c>
      <c r="AL13" s="899">
        <f t="shared" si="1"/>
        <v>0</v>
      </c>
      <c r="AM13" s="899">
        <f t="shared" si="1"/>
        <v>10679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1445</v>
      </c>
      <c r="BD13" s="899">
        <f t="shared" si="1"/>
        <v>2430</v>
      </c>
      <c r="BE13" s="899">
        <f t="shared" si="1"/>
        <v>0</v>
      </c>
      <c r="BF13" s="899">
        <f t="shared" si="1"/>
        <v>0</v>
      </c>
      <c r="BG13" s="899">
        <f>IF(ISNUMBER(Datos!K13/Datos!J13),Datos!K13/Datos!J13," - ")</f>
        <v>0.80774343635759394</v>
      </c>
      <c r="BH13" s="903">
        <f>IF(ISNUMBER(((Datos!L13/Datos!K13)*11)/factor_trimestre),((Datos!L13/Datos!K13)*11)/factor_trimestre," - ")</f>
        <v>8.5217033532195021</v>
      </c>
      <c r="BI13" s="899">
        <f>IF(ISNUMBER('Resol  Asuntos'!D13/NºAsuntos!G13),'Resol  Asuntos'!D13/NºAsuntos!G13," - ")</f>
        <v>0.28963720184405695</v>
      </c>
      <c r="BJ13" s="899" t="str">
        <f>IF(ISNUMBER(Datos!CI13/Datos!CJ13),Datos!CI13/Datos!CJ13," - ")</f>
        <v xml:space="preserve"> - </v>
      </c>
      <c r="BK13" s="899">
        <f>SUBTOTAL(9,BK8:BK12)</f>
        <v>0</v>
      </c>
      <c r="BL13" s="899">
        <f>IF(ISNUMBER((I13-AB13+L13)/(F13)),(I13-AB13+L13)/(F13)," - ")</f>
        <v>-0.32203389830508472</v>
      </c>
      <c r="BM13" s="904">
        <f>SUBTOTAL(9,BM9:BM12)</f>
        <v>4.2543859649122807E-2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3189</v>
      </c>
      <c r="G15" s="598">
        <f>IF(ISNUMBER(IF(D_I="SI",Datos!I15,Datos!I15+Datos!AC15)),IF(D_I="SI",Datos!I15,Datos!I15+Datos!AC15)," - ")</f>
        <v>3187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2344</v>
      </c>
      <c r="AC15" s="226">
        <f>IF(ISNUMBER(Datos!Q15),Datos!Q15," - ")</f>
        <v>65</v>
      </c>
      <c r="AD15" s="334"/>
      <c r="AE15" s="484"/>
      <c r="AF15" s="596">
        <f>IF(ISNUMBER(IF(D_I="SI",Datos!L15,Datos!L15+Datos!AF15)),IF(D_I="SI",Datos!L15,Datos!L15+Datos!AF15)," - ")</f>
        <v>3306</v>
      </c>
      <c r="AG15" s="334"/>
      <c r="AH15" s="334"/>
      <c r="AI15" s="334"/>
      <c r="AJ15" s="334"/>
      <c r="AK15" s="334"/>
      <c r="AL15" s="479"/>
      <c r="AM15" s="335">
        <f>IF(ISNUMBER(Datos!R15),Datos!R15," - ")</f>
        <v>455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417</v>
      </c>
      <c r="BD15" s="229">
        <f>IF(ISNUMBER(Datos!N15),Datos!N15," - ")</f>
        <v>1367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0.95245835026412029</v>
      </c>
      <c r="BH15" s="260">
        <f>IF(ISNUMBER(((IF(D_I="SI",Datos!L15/Datos!K15,(Datos!L15+Datos!AF15)/(Datos!K15+Datos!AE15)))*11)/factor_trimestre),((IF(D_I="SI",Datos!L15/Datos!K15,(Datos!L15+Datos!AF15)/(Datos!K15+Datos!AE15)))*11)/factor_trimestre," - ")</f>
        <v>4.2312286689419798</v>
      </c>
      <c r="BI15" s="243">
        <f>IF(ISNUMBER('Resol  Asuntos'!D15/NºAsuntos!G15),'Resol  Asuntos'!D15/NºAsuntos!G15," - ")</f>
        <v>0.17790102389078499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v>
      </c>
      <c r="G16" s="598">
        <f>IF(ISNUMBER(IF(D_I="SI",Datos!I16,Datos!I16+Datos!AC16)),IF(D_I="SI",Datos!I16,Datos!I16+Datos!AC16)," - ")</f>
        <v>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v>
      </c>
      <c r="AC16" s="226">
        <f>IF(ISNUMBER(Datos!Q16),Datos!Q16," - ")</f>
        <v>0</v>
      </c>
      <c r="AD16" s="334"/>
      <c r="AE16" s="484"/>
      <c r="AF16" s="596">
        <f>IF(ISNUMBER(IF(D_I="SI",Datos!L16,Datos!L16+Datos!AF16)),IF(D_I="SI",Datos!L16,Datos!L16+Datos!AF16)," - ")</f>
        <v>1</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2</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f>IF(ISNUMBER(((IF(D_I="SI",Datos!L16/Datos!K16,(Datos!L16+Datos!AF16)/(Datos!K16+Datos!AE16)))*11)/factor_trimestre),((IF(D_I="SI",Datos!L16/Datos!K16,(Datos!L16+Datos!AF16)/(Datos!K16+Datos!AE16)))*11)/factor_trimestre," - ")</f>
        <v>1.5</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8</v>
      </c>
      <c r="AD17" s="334"/>
      <c r="AE17" s="484"/>
      <c r="AF17" s="332">
        <f>IF(ISNUMBER(Datos!L17),Datos!L17,"-")</f>
        <v>111</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2.5</v>
      </c>
      <c r="BH17" s="260">
        <f>IF(ISNUMBER(((IF(D_I="SI",Datos!L17/Datos!K17,(Datos!L17+Datos!AF17)/(Datos!K17+Datos!AE17)))*11)/factor_trimestre),((IF(D_I="SI",Datos!L17/Datos!K17,(Datos!L17+Datos!AF17)/(Datos!K17+Datos!AE17)))*11)/factor_trimestre," - ")</f>
        <v>13.320000000000002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3192</v>
      </c>
      <c r="G18" s="898">
        <f>SUBTOTAL(9,G15:G17)</f>
        <v>3316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2371</v>
      </c>
      <c r="AC18" s="899">
        <f t="shared" si="4"/>
        <v>73</v>
      </c>
      <c r="AD18" s="899">
        <f t="shared" si="4"/>
        <v>0</v>
      </c>
      <c r="AE18" s="899">
        <f t="shared" si="4"/>
        <v>0</v>
      </c>
      <c r="AF18" s="899">
        <f t="shared" si="4"/>
        <v>3418</v>
      </c>
      <c r="AG18" s="899">
        <f t="shared" si="4"/>
        <v>0</v>
      </c>
      <c r="AH18" s="899">
        <f t="shared" si="4"/>
        <v>0</v>
      </c>
      <c r="AI18" s="899">
        <f t="shared" si="4"/>
        <v>0</v>
      </c>
      <c r="AJ18" s="899">
        <f t="shared" si="4"/>
        <v>0</v>
      </c>
      <c r="AK18" s="899">
        <f t="shared" si="4"/>
        <v>0</v>
      </c>
      <c r="AL18" s="899">
        <f t="shared" si="4"/>
        <v>0</v>
      </c>
      <c r="AM18" s="899">
        <f t="shared" si="4"/>
        <v>459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417</v>
      </c>
      <c r="BD18" s="899">
        <f t="shared" si="4"/>
        <v>1369</v>
      </c>
      <c r="BE18" s="899">
        <f t="shared" si="4"/>
        <v>0</v>
      </c>
      <c r="BF18" s="899">
        <f t="shared" si="4"/>
        <v>0</v>
      </c>
      <c r="BG18" s="899">
        <f>IF(ISNUMBER(Datos!K18/Datos!J18),Datos!K18/Datos!J18," - ")</f>
        <v>0.95953055443140434</v>
      </c>
      <c r="BH18" s="903">
        <f>IF(ISNUMBER(((Datos!L18/Datos!K18)*11)/factor_trimestre),((Datos!L18/Datos!K18)*11)/factor_trimestre," - ")</f>
        <v>4.3247574862927038</v>
      </c>
      <c r="BI18" s="899">
        <f>SUBTOTAL(9,BI15:BI17)</f>
        <v>0.17790102389078499</v>
      </c>
      <c r="BJ18" s="899">
        <f>SUBTOTAL(9,BJ15:BJ17)</f>
        <v>0</v>
      </c>
      <c r="BK18" s="899">
        <f>SUBTOTAL(9,BK15:BK17)</f>
        <v>0</v>
      </c>
      <c r="BL18" s="899">
        <f>IF(ISNUMBER((I18-AB18+L18)/(F18)),(I18-AB18+L18)/(F18)," - ")</f>
        <v>-0.7427944862155389</v>
      </c>
      <c r="BM18" s="905">
        <f>IF(ISNUMBER((Datos!P18-Datos!Q18)/(Datos!R18-Datos!P18+Datos!Q18)),(Datos!P18-Datos!Q18)/(Datos!R18-Datos!P18+Datos!Q18)," - ")</f>
        <v>8.7677725118483416E-2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3310</v>
      </c>
      <c r="G19" s="820">
        <f t="shared" si="6"/>
        <v>3434</v>
      </c>
      <c r="H19" s="822">
        <f t="shared" si="6"/>
        <v>0</v>
      </c>
      <c r="I19" s="820">
        <f t="shared" si="6"/>
        <v>0</v>
      </c>
      <c r="J19" s="822">
        <f t="shared" si="6"/>
        <v>0</v>
      </c>
      <c r="K19" s="822">
        <f t="shared" si="6"/>
        <v>0</v>
      </c>
      <c r="L19" s="881">
        <f t="shared" si="6"/>
        <v>0</v>
      </c>
      <c r="M19" s="881">
        <f t="shared" si="6"/>
        <v>0</v>
      </c>
      <c r="N19" s="881">
        <f t="shared" si="6"/>
        <v>135</v>
      </c>
      <c r="O19" s="881">
        <f t="shared" si="6"/>
        <v>0</v>
      </c>
      <c r="P19" s="881">
        <f t="shared" si="6"/>
        <v>0</v>
      </c>
      <c r="Q19" s="822">
        <f t="shared" si="6"/>
        <v>715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2409</v>
      </c>
      <c r="AC19" s="821">
        <f t="shared" si="7"/>
        <v>493</v>
      </c>
      <c r="AD19" s="821">
        <f t="shared" si="7"/>
        <v>0</v>
      </c>
      <c r="AE19" s="821">
        <f t="shared" si="7"/>
        <v>0</v>
      </c>
      <c r="AF19" s="828">
        <f t="shared" si="7"/>
        <v>3509</v>
      </c>
      <c r="AG19" s="828">
        <f t="shared" si="7"/>
        <v>0</v>
      </c>
      <c r="AH19" s="828">
        <f t="shared" si="7"/>
        <v>297</v>
      </c>
      <c r="AI19" s="828">
        <f t="shared" si="7"/>
        <v>0</v>
      </c>
      <c r="AJ19" s="821">
        <f t="shared" si="7"/>
        <v>0</v>
      </c>
      <c r="AK19" s="828">
        <f t="shared" si="7"/>
        <v>0</v>
      </c>
      <c r="AL19" s="828">
        <f t="shared" si="7"/>
        <v>0</v>
      </c>
      <c r="AM19" s="828">
        <f t="shared" si="7"/>
        <v>11138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1862</v>
      </c>
      <c r="BD19" s="820">
        <f t="shared" si="7"/>
        <v>3799</v>
      </c>
      <c r="BE19" s="820">
        <f t="shared" si="7"/>
        <v>0</v>
      </c>
      <c r="BF19" s="830">
        <f t="shared" si="7"/>
        <v>0</v>
      </c>
      <c r="BG19" s="915">
        <f>IF(ISNUMBER(Datos!K19/Datos!J19),Datos!K19/Datos!J19," - ")</f>
        <v>0.85192602191070799</v>
      </c>
      <c r="BH19" s="915">
        <f>IF(ISNUMBER(((Datos!L19/Datos!K19)*11)/factor_trimestre),((Datos!L19/Datos!K19)*11)/factor_trimestre," - ")</f>
        <v>7.1457411504424773</v>
      </c>
      <c r="BI19" s="813">
        <f>IF(ISNUMBER(Datos!J19/Datos!I19),Datos!J19/Datos!I19," - ")</f>
        <v>0.53165904678399201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-0.72779456193353476</v>
      </c>
      <c r="BM19" s="889">
        <f>IF(ISNUMBER((Datos!P19-Datos!Q19+R19)/(Datos!R19-Datos!P19+Datos!Q19-R19)),(Datos!P19-Datos!Q19+R19)/(Datos!R19-Datos!P19+Datos!Q19-R19)," - ")</f>
        <v>2.0337119824111394E-2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1144.6666666666667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1704.5206070916245</v>
      </c>
      <c r="G21" s="552">
        <f>IF(ISNUMBER(STDEV(G8:G18)),STDEV(G8:G18),"-")</f>
        <v>1633.0944451153664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1204.212605813442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642.19052209345682</v>
      </c>
      <c r="BD21" s="551"/>
      <c r="BE21" s="551">
        <f>IF(ISNUMBER(STDEV(BE8:BE18)),STDEV(BE8:BE18),"-")</f>
        <v>0</v>
      </c>
      <c r="BF21" s="556">
        <f>IF(ISNUMBER(STDEV(BF8:BF18)),STDEV(BF8:BF18),"-")</f>
        <v>0</v>
      </c>
      <c r="BG21" s="775">
        <f>IF(ISNUMBER(STDEV(BG8:BG18)),STDEV(BG8:BG18),"-")</f>
        <v>1.1255602681795025</v>
      </c>
      <c r="BH21" s="776">
        <f>IF(ISNUMBER(STDEV(BH8:BH18)),STDEV(BH8:BH18),"-")</f>
        <v>3.85787425488892</v>
      </c>
      <c r="BI21" s="249">
        <f>IF(ISNUMBER(STDEV(BI8:BI18)),STDEV(BI8:BI18),"-")</f>
        <v>0.12636147781600193</v>
      </c>
      <c r="BJ21" s="230" t="str">
        <f>IF(ISNUMBER(BL21/BM21),BL21/BM21," - ")</f>
        <v xml:space="preserve"> - </v>
      </c>
      <c r="BK21" s="575"/>
      <c r="BL21" s="559">
        <f>IF(ISNUMBER(STDEV(BL8:BL18)),STDEV(BL8:BL18),"-")</f>
        <v>0.29752266496752056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DD49w4F8C6BlRaSRAkQWjLpKOihFEDzqv5dDSTt22fNgI6mYFzGy/IebQ63XEyCT2buxaMymKLAwjZMbLeRcUg==" saltValue="OuC0MyLYlzPRM+DQ6zmyb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TELDE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602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420</v>
      </c>
      <c r="AA9" s="332" t="str">
        <f>IF(ISNUMBER(IF(J_V="SI",Datos!L9,Datos!L9+Datos!AB9)-IF(Monitorios="SI",Datos!CD9,0)),
                          IF(J_V="SI",Datos!L9,Datos!L9+Datos!AB9)-IF(Monitorios="SI",Datos!CD9,0),
                          " - ")</f>
        <v xml:space="preserve"> - </v>
      </c>
      <c r="AB9" s="334"/>
      <c r="AC9" s="334"/>
      <c r="AD9" s="484"/>
      <c r="AE9" s="484">
        <f>IF(ISNUMBER(Datos!R9),Datos!R9," - ")</f>
        <v>10556</v>
      </c>
      <c r="AF9" s="229" t="str">
        <f>IF(ISNUMBER(Datos!BV9),Datos!BV9," - ")</f>
        <v xml:space="preserve"> - </v>
      </c>
      <c r="AG9" s="225" t="str">
        <f>IF(ISNUMBER(Datos!DV9),Datos!DV9," - ")</f>
        <v xml:space="preserve"> - </v>
      </c>
      <c r="AH9" s="298"/>
      <c r="AI9" s="227"/>
      <c r="AJ9" s="225">
        <f>IF(ISNUMBER(Datos!M9),Datos!M9," - ")</f>
        <v>1421</v>
      </c>
      <c r="AK9" s="229">
        <f>IF(ISNUMBER(Datos!N9),Datos!N9," - ")</f>
        <v>2423</v>
      </c>
      <c r="AL9" s="229" t="str">
        <f>IF(ISNUMBER(Datos!BW9),Datos!BW9," - ")</f>
        <v xml:space="preserve"> - </v>
      </c>
      <c r="AM9" s="228" t="str">
        <f>IF(ISNUMBER(Datos!BX9),Datos!BX9," - ")</f>
        <v xml:space="preserve"> - </v>
      </c>
      <c r="AN9" s="243"/>
      <c r="AO9" s="260">
        <f>IF(ISNUMBER(((NºAsuntos!I9/NºAsuntos!G9)*11)/factor_trimestre),((NºAsuntos!I9/NºAsuntos!G9)*11)/factor_trimestre," - ")</f>
        <v>8.4916178549787915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1.7543859649122806E-2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118</v>
      </c>
      <c r="G10" s="225">
        <f>IF(ISNUMBER(Datos!I10),Datos!I10," - ")</f>
        <v>118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0</v>
      </c>
      <c r="AA10" s="332">
        <f>IF(ISNUMBER(Datos!L10),Datos!L10,"-")</f>
        <v>91</v>
      </c>
      <c r="AB10" s="334"/>
      <c r="AC10" s="334"/>
      <c r="AD10" s="484"/>
      <c r="AE10" s="484">
        <f>IF(ISNUMBER(Datos!R10),Datos!R10," - ")</f>
        <v>123</v>
      </c>
      <c r="AF10" s="229" t="str">
        <f>IF(ISNUMBER(Datos!BV10),Datos!BV10," - ")</f>
        <v xml:space="preserve"> - </v>
      </c>
      <c r="AG10" s="225" t="str">
        <f>IF(ISNUMBER(Datos!DV10),Datos!DV10," - ")</f>
        <v xml:space="preserve"> - </v>
      </c>
      <c r="AH10" s="298"/>
      <c r="AI10" s="227"/>
      <c r="AJ10" s="225">
        <f>IF(ISNUMBER(Datos!M10),Datos!M10," - ")</f>
        <v>24</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7.1842105263157903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2.5000000000000001E-2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118</v>
      </c>
      <c r="G13" s="898">
        <f>SUBTOTAL(9,G8:G12)</f>
        <v>118</v>
      </c>
      <c r="H13" s="908"/>
      <c r="I13" s="898">
        <f t="shared" ref="I13:N13" si="0">SUBTOTAL(9,I8:I12)</f>
        <v>0</v>
      </c>
      <c r="J13" s="867">
        <f t="shared" si="0"/>
        <v>0</v>
      </c>
      <c r="K13" s="908">
        <f t="shared" si="0"/>
        <v>0</v>
      </c>
      <c r="L13" s="908">
        <f t="shared" si="0"/>
        <v>0</v>
      </c>
      <c r="M13" s="908">
        <f t="shared" si="0"/>
        <v>0</v>
      </c>
      <c r="N13" s="908">
        <f t="shared" si="0"/>
        <v>605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420</v>
      </c>
      <c r="AA13" s="900">
        <f t="shared" si="2"/>
        <v>91</v>
      </c>
      <c r="AB13" s="900">
        <f t="shared" si="2"/>
        <v>0</v>
      </c>
      <c r="AC13" s="900">
        <f t="shared" si="2"/>
        <v>0</v>
      </c>
      <c r="AD13" s="900">
        <f t="shared" si="2"/>
        <v>0</v>
      </c>
      <c r="AE13" s="900">
        <f t="shared" si="2"/>
        <v>10679</v>
      </c>
      <c r="AF13" s="908">
        <f t="shared" si="2"/>
        <v>0</v>
      </c>
      <c r="AG13" s="908">
        <f t="shared" si="2"/>
        <v>0</v>
      </c>
      <c r="AH13" s="908">
        <f t="shared" si="2"/>
        <v>0</v>
      </c>
      <c r="AI13" s="908">
        <f t="shared" si="2"/>
        <v>0</v>
      </c>
      <c r="AJ13" s="908">
        <f t="shared" si="2"/>
        <v>1445</v>
      </c>
      <c r="AK13" s="908">
        <f t="shared" si="2"/>
        <v>2430</v>
      </c>
      <c r="AL13" s="908">
        <f t="shared" si="2"/>
        <v>0</v>
      </c>
      <c r="AM13" s="908">
        <f t="shared" si="2"/>
        <v>0</v>
      </c>
      <c r="AN13" s="908">
        <f t="shared" si="2"/>
        <v>0</v>
      </c>
      <c r="AO13" s="904">
        <f>IF(ISNUMBER(((NºAsuntos!I13/NºAsuntos!G13)*11)/factor_trimestre),((NºAsuntos!I13/NºAsuntos!G13)*11)/factor_trimestre," - ")</f>
        <v>8.4816596512327127</v>
      </c>
      <c r="AP13" s="910" t="str">
        <f>IF(ISNUMBER(Datos!CI13/Datos!CJ13),Datos!CI13/Datos!CJ13," - ")</f>
        <v xml:space="preserve"> - </v>
      </c>
      <c r="AQ13" s="928">
        <f t="shared" ref="AQ13:AV13" si="3">SUBTOTAL(9,AQ9:AQ12)</f>
        <v>0</v>
      </c>
      <c r="AR13" s="928">
        <f t="shared" si="3"/>
        <v>4.2543859649122807E-2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3189</v>
      </c>
      <c r="G15" s="225">
        <f>IF(ISNUMBER(IF(D_I="SI",Datos!I15,Datos!I15+Datos!AC15)),IF(D_I="SI",Datos!I15,Datos!I15+Datos!AC15)," - ")</f>
        <v>3187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2344</v>
      </c>
      <c r="Z15" s="619">
        <f>IF(ISNUMBER(Datos!Q15),Datos!Q15," - ")</f>
        <v>65</v>
      </c>
      <c r="AA15" s="332">
        <f>IF(ISNUMBER(IF(D_I="SI",Datos!L15,Datos!L15+Datos!AF15)),IF(D_I="SI",Datos!L15,Datos!L15+Datos!AF15)," - ")</f>
        <v>3306</v>
      </c>
      <c r="AB15" s="334"/>
      <c r="AC15" s="334"/>
      <c r="AD15" s="484"/>
      <c r="AE15" s="484">
        <f>IF(ISNUMBER(Datos!R15),Datos!R15," - ")</f>
        <v>455</v>
      </c>
      <c r="AF15" s="229" t="str">
        <f>IF(ISNUMBER(Datos!BV15),Datos!BV15," - ")</f>
        <v xml:space="preserve"> - </v>
      </c>
      <c r="AG15" s="225"/>
      <c r="AH15" s="298"/>
      <c r="AI15" s="227"/>
      <c r="AJ15" s="225">
        <f>IF(ISNUMBER(Datos!M15),Datos!M15," - ")</f>
        <v>417</v>
      </c>
      <c r="AK15" s="229">
        <f>IF(ISNUMBER(Datos!N15),Datos!N15," - ")</f>
        <v>1367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4.2312286689419798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3</v>
      </c>
      <c r="G16" s="225">
        <f>IF(ISNUMBER(IF(D_I="SI",Datos!I16,Datos!I16+Datos!AC16)),IF(D_I="SI",Datos!I16,Datos!I16+Datos!AC16)," - ")</f>
        <v>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v>
      </c>
      <c r="Z16" s="619">
        <f>IF(ISNUMBER(Datos!Q16),Datos!Q16," - ")</f>
        <v>0</v>
      </c>
      <c r="AA16" s="332">
        <f>IF(ISNUMBER(IF(D_I="SI",Datos!L16,Datos!L16+Datos!AF16)),IF(D_I="SI",Datos!L16,Datos!L16+Datos!AF16)," - ")</f>
        <v>1</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8</v>
      </c>
      <c r="AA17" s="332">
        <f>IF(ISNUMBER(Datos!L17),Datos!L17,"-")</f>
        <v>111</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13.320000000000002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3192</v>
      </c>
      <c r="G18" s="898">
        <f>SUBTOTAL(9,G15:G17)</f>
        <v>3316</v>
      </c>
      <c r="H18" s="932">
        <f>SUBTOTAL(9,H15:H17)</f>
        <v>0</v>
      </c>
      <c r="I18" s="911">
        <f>SUBTOTAL(9,I15:I17)</f>
        <v>0</v>
      </c>
      <c r="J18" s="867">
        <f>SUBTOTAL(9,J14:J17)</f>
        <v>0</v>
      </c>
      <c r="K18" s="932">
        <f t="shared" ref="K18:S18" si="4">SUBTOTAL(9,K15:K17)</f>
        <v>0</v>
      </c>
      <c r="L18" s="932">
        <f t="shared" si="4"/>
        <v>0</v>
      </c>
      <c r="M18" s="932">
        <f t="shared" si="4"/>
        <v>0</v>
      </c>
      <c r="N18" s="932">
        <f t="shared" si="4"/>
        <v>110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2371</v>
      </c>
      <c r="Z18" s="932">
        <f t="shared" si="5"/>
        <v>73</v>
      </c>
      <c r="AA18" s="932">
        <f t="shared" si="5"/>
        <v>3418</v>
      </c>
      <c r="AB18" s="932">
        <f t="shared" si="5"/>
        <v>0</v>
      </c>
      <c r="AC18" s="932">
        <f t="shared" si="5"/>
        <v>0</v>
      </c>
      <c r="AD18" s="932">
        <f t="shared" si="5"/>
        <v>0</v>
      </c>
      <c r="AE18" s="932">
        <f t="shared" si="5"/>
        <v>459</v>
      </c>
      <c r="AF18" s="932">
        <f t="shared" si="5"/>
        <v>0</v>
      </c>
      <c r="AG18" s="932">
        <f t="shared" si="5"/>
        <v>0</v>
      </c>
      <c r="AH18" s="932">
        <f t="shared" si="5"/>
        <v>0</v>
      </c>
      <c r="AI18" s="932">
        <f t="shared" si="5"/>
        <v>0</v>
      </c>
      <c r="AJ18" s="932">
        <f t="shared" si="5"/>
        <v>417</v>
      </c>
      <c r="AK18" s="932">
        <f t="shared" si="5"/>
        <v>1369</v>
      </c>
      <c r="AL18" s="932">
        <f t="shared" si="5"/>
        <v>0</v>
      </c>
      <c r="AM18" s="932">
        <f t="shared" si="5"/>
        <v>0</v>
      </c>
      <c r="AN18" s="932">
        <f t="shared" si="5"/>
        <v>0</v>
      </c>
      <c r="AO18" s="934">
        <f>IF(ISNUMBER(((NºAsuntos!I18/NºAsuntos!G18)*11)/factor_trimestre),((NºAsuntos!I18/NºAsuntos!G18)*11)/factor_trimestre," - ")</f>
        <v>4.3247574862927038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3310</v>
      </c>
      <c r="G19" s="820">
        <f t="shared" si="7"/>
        <v>3434</v>
      </c>
      <c r="H19" s="821">
        <f t="shared" si="7"/>
        <v>0</v>
      </c>
      <c r="I19" s="820">
        <f t="shared" si="7"/>
        <v>0</v>
      </c>
      <c r="J19" s="822">
        <f t="shared" si="7"/>
        <v>0</v>
      </c>
      <c r="K19" s="820">
        <f t="shared" si="7"/>
        <v>0</v>
      </c>
      <c r="L19" s="823">
        <f t="shared" si="7"/>
        <v>0</v>
      </c>
      <c r="M19" s="820">
        <f t="shared" si="7"/>
        <v>0</v>
      </c>
      <c r="N19" s="821">
        <f t="shared" si="7"/>
        <v>715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2409</v>
      </c>
      <c r="Z19" s="827">
        <f t="shared" si="8"/>
        <v>493</v>
      </c>
      <c r="AA19" s="828">
        <f t="shared" si="8"/>
        <v>3509</v>
      </c>
      <c r="AB19" s="828">
        <f t="shared" si="8"/>
        <v>0</v>
      </c>
      <c r="AC19" s="828">
        <f t="shared" si="8"/>
        <v>0</v>
      </c>
      <c r="AD19" s="829">
        <f t="shared" si="8"/>
        <v>0</v>
      </c>
      <c r="AE19" s="829">
        <f t="shared" si="8"/>
        <v>11138</v>
      </c>
      <c r="AF19" s="830">
        <f t="shared" si="8"/>
        <v>0</v>
      </c>
      <c r="AG19" s="831">
        <f t="shared" si="8"/>
        <v>0</v>
      </c>
      <c r="AH19" s="832">
        <f t="shared" si="8"/>
        <v>0</v>
      </c>
      <c r="AI19" s="830">
        <f t="shared" si="8"/>
        <v>0</v>
      </c>
      <c r="AJ19" s="820">
        <f t="shared" si="8"/>
        <v>1862</v>
      </c>
      <c r="AK19" s="820">
        <f t="shared" si="8"/>
        <v>3799</v>
      </c>
      <c r="AL19" s="820">
        <f t="shared" si="8"/>
        <v>0</v>
      </c>
      <c r="AM19" s="833">
        <f t="shared" si="8"/>
        <v>0</v>
      </c>
      <c r="AN19" s="823">
        <f>IF(ISNUMBER(Datos!K19/Datos!J19),Datos!K19/Datos!J19," - ")</f>
        <v>0.85192602191070799</v>
      </c>
      <c r="AO19" s="823">
        <f>IF(ISNUMBER(FIND("06",Criterios!A8,1)),(IF(ISNUMBER(((Datos!R19/Datos!Q19)*11)/factor_trimestre),((Datos!R19/Datos!Q19)*11)/factor_trimestre," - ")),(IF(ISNUMBER(((Datos!L19/Datos!K19)*11)/factor_trimestre),((Datos!L19/Datos!K19)*11)/factor_trimestre," - ")))</f>
        <v>7.1457411504424773</v>
      </c>
      <c r="AP19" s="834" t="str">
        <f>IF(ISNUMBER(Datos!CI19/Datos!CJ19),Datos!CI19/Datos!CJ19," - ")</f>
        <v xml:space="preserve"> - </v>
      </c>
      <c r="AQ19" s="834">
        <f>IF(OR(ISNUMBER(FIND("01",Criterios!A8,1)),ISNUMBER(FIND("02",Criterios!A8,1)),ISNUMBER(FIND("03",Criterios!A8,1)),ISNUMBER(FIND("04",Criterios!A8,1))),(J19-Y19+K19)/(F19-K19),(I19-Y19+K19)/(F19-K19))</f>
        <v>-0.72779456193353476</v>
      </c>
      <c r="AR19" s="834">
        <f>IF(ISNUMBER((Datos!P19-Datos!Q19+O19)/(Datos!R19-Datos!P19+Datos!Q19-O19)),(Datos!P19-Datos!Q19+O19)/(Datos!R19-Datos!P19+Datos!Q19-O19)," - ")</f>
        <v>2.0337119824111394E-2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1144.6666666666667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1704.5206070916245</v>
      </c>
      <c r="G21" s="552">
        <f>IF(ISNUMBER(STDEV(G8:G18)),STDEV(G8:G18),"-")</f>
        <v>1633.0944451153664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642.19052209345682</v>
      </c>
      <c r="AK21" s="252"/>
      <c r="AL21" s="252">
        <f>IF(ISNUMBER(STDEV(AL8:AL18)),STDEV(AL8:AL18),"-")</f>
        <v>0</v>
      </c>
      <c r="AM21" s="254">
        <f>IF(ISNUMBER(STDEV(AM8:AM18)),STDEV(AM8:AM18),"-")</f>
        <v>0</v>
      </c>
      <c r="AN21" s="539">
        <f>IF(ISNUMBER(STDEV(AN8:AN18)),STDEV(AN8:AN18),"-")</f>
        <v>0</v>
      </c>
      <c r="AO21" s="540">
        <f>IF(ISNUMBER(STDEV(AO8:AO18)),STDEV(AO8:AO18),"-")</f>
        <v>3.8549177961577197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Uy/Nz7ez67XW+gupmA5iB72edmW6O4uXaFaQK1ezUHO9Y1dEtzMpx6onG9byt8knk2lsha68RWA6A3nwBR5RA==" saltValue="BsSPZSzZvQIYuORCw9sOC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Lr2B9rSaR0SYjg1WIj9uDTavghLmPLZ6da3tYCnoW1N+Qo9kwAHpvO9NLhsDHPiSo2gPkPmefL3Jlr96Y/eEA==" saltValue="Fm3OAZsaOAf/iPE/yng4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opd1o6awrPVq+8v6isoGjIftrszXbBuQY7i5faZI9r9lEpuIKhYxLKBWt9CT9IrLeBE2VaF1ixVy+nSLiHcg==" saltValue="9BZs1EJ9JJieZGQoIMQjk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TELDE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0.28963720184405695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0.20480442950782948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7c0CA3O1H+Tusa5eiTkpA6XYDgTIy9alWLixCdXimN5uHQS26B9BKgD5OmfE2e+zcGf3h2Rt1QqP2ou7P18nEA==" saltValue="7ksWG1adhdKz3ZLURL8u5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g4ILitv9bP5nWLqcvQHw4muNB1a/W4/QT+qTkZurrzwq5aF7LA7LmDsifxk3LCJvnO7qO5yPJsBh1LZrVNbcuw==" saltValue="w7Jw60h7QgcMycop49MF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TELDE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12823</v>
      </c>
      <c r="D9" s="404">
        <f>IF(ISNUMBER(C9/Datos!BH9),C9/Datos!BH9," - ")</f>
        <v>2137.1666666666665</v>
      </c>
      <c r="E9" s="403">
        <f>IF(ISNUMBER(IF(J_V="SI",Datos!J9,Datos!J9+Datos!Z9)),IF(J_V="SI",Datos!J9,Datos!J9+Datos!Z9)," - ")</f>
        <v>6142</v>
      </c>
      <c r="F9" s="404">
        <f>IF(ISNUMBER(E9/B9),E9/B9," - ")</f>
        <v>1023.6666666666666</v>
      </c>
      <c r="G9" s="403">
        <f>IF(ISNUMBER(IF(J_V="SI",Datos!K9,Datos!K9+Datos!AA9)),IF(J_V="SI",Datos!K9,Datos!K9+Datos!AA9)," - ")</f>
        <v>4951</v>
      </c>
      <c r="H9" s="404">
        <f>IF(ISNUMBER(G9/B9),G9/B9," - ")</f>
        <v>825.16666666666663</v>
      </c>
      <c r="I9" s="403">
        <f>IF(ISNUMBER(IF(J_V="SI",Datos!L9,Datos!L9+Datos!AB9)),IF(J_V="SI",Datos!L9,Datos!L9+Datos!AB9)," - ")</f>
        <v>14014</v>
      </c>
      <c r="J9" s="404">
        <f>IF(ISNUMBER(I9/B9),I9/B9," - ")</f>
        <v>2335.6666666666665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118</v>
      </c>
      <c r="D10" s="404">
        <f>IF(ISNUMBER(C10/Datos!BH10),C10/Datos!BH10," - ")</f>
        <v>118</v>
      </c>
      <c r="E10" s="403">
        <f>IF(ISNUMBER(Datos!J10),Datos!J10," - ")</f>
        <v>11</v>
      </c>
      <c r="F10" s="404">
        <f>IF(ISNUMBER(E10/B10),E10/B10," - ")</f>
        <v>11</v>
      </c>
      <c r="G10" s="403">
        <f>IF(ISNUMBER(Datos!K10),Datos!K10," - ")</f>
        <v>38</v>
      </c>
      <c r="H10" s="404">
        <f>IF(ISNUMBER(G10/B10),G10/B10," - ")</f>
        <v>38</v>
      </c>
      <c r="I10" s="403">
        <f>IF(ISNUMBER(Datos!L10),Datos!L10," - ")</f>
        <v>91</v>
      </c>
      <c r="J10" s="404">
        <f>IF(ISNUMBER(I10/B10),I10/B10," - ")</f>
        <v>91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12941</v>
      </c>
      <c r="D13" s="850" t="str">
        <f>IF(ISNUMBER(C13/Datos!BI13),C13/Datos!BI13," - ")</f>
        <v xml:space="preserve"> - </v>
      </c>
      <c r="E13" s="849">
        <f>SUBTOTAL(9,E8:E12)</f>
        <v>6153</v>
      </c>
      <c r="F13" s="850">
        <f>IF(ISNUMBER(E13/B13),E13/B13," - ")</f>
        <v>1025.5</v>
      </c>
      <c r="G13" s="849">
        <f>SUBTOTAL(9,G8:G12)</f>
        <v>4989</v>
      </c>
      <c r="H13" s="850">
        <f>IF(ISNUMBER(G13/B13),G13/B13," - ")</f>
        <v>831.5</v>
      </c>
      <c r="I13" s="849">
        <f>SUBTOTAL(9,I8:I12)</f>
        <v>14105</v>
      </c>
      <c r="J13" s="850">
        <f>IF(ISNUMBER(I13/B13),I13/B13," - ")</f>
        <v>2350.8333333333335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3187</v>
      </c>
      <c r="D15" s="404">
        <f>IF(ISNUMBER(C15/Datos!BH15),C15/Datos!BH15," - ")</f>
        <v>1062.3333333333333</v>
      </c>
      <c r="E15" s="403">
        <f>IF(ISNUMBER(IF(D_I="SI",Datos!J15,Datos!J15+Datos!AD15)),IF(D_I="SI",Datos!J15,Datos!J15+Datos!AD15)," - ")</f>
        <v>2461</v>
      </c>
      <c r="F15" s="404">
        <f>IF(ISNUMBER(E15/B15),E15/B15," - ")</f>
        <v>820.33333333333337</v>
      </c>
      <c r="G15" s="403">
        <f>IF(ISNUMBER(IF(D_I="SI",Datos!K15,Datos!K15+Datos!AE15)),IF(D_I="SI",Datos!K15,Datos!K15+Datos!AE15)," - ")</f>
        <v>2344</v>
      </c>
      <c r="H15" s="404">
        <f>IF(ISNUMBER(G15/B15),G15/B15," - ")</f>
        <v>781.33333333333337</v>
      </c>
      <c r="I15" s="403">
        <f>IF(ISNUMBER(IF(D_I="SI",Datos!L15,Datos!L15+Datos!AF15)),IF(D_I="SI",Datos!L15,Datos!L15+Datos!AF15)," - ")</f>
        <v>3306</v>
      </c>
      <c r="J15" s="404">
        <f>IF(ISNUMBER(I15/B15),I15/B15," - ")</f>
        <v>1102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3</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2</v>
      </c>
      <c r="H16" s="404" t="str">
        <f>IF(ISNUMBER(G16/B16),G16/B16," - ")</f>
        <v xml:space="preserve"> - </v>
      </c>
      <c r="I16" s="403">
        <f>IF(ISNUMBER(IF(D_I="SI",Datos!L16,Datos!L16+Datos!AF16)),IF(D_I="SI",Datos!L16,Datos!L16+Datos!AF16)," - ")</f>
        <v>1</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126</v>
      </c>
      <c r="D17" s="404">
        <f>IF(ISNUMBER(C17/Datos!BH17),C17/Datos!BH17," - ")</f>
        <v>126</v>
      </c>
      <c r="E17" s="403">
        <f>IF(ISNUMBER(IF(D_I="SI",Datos!J17,Datos!J17+Datos!AD17)),IF(D_I="SI",Datos!J17,Datos!J17+Datos!AD17)," - ")</f>
        <v>10</v>
      </c>
      <c r="F17" s="404">
        <f>IF(ISNUMBER(E17/B17),E17/B17," - ")</f>
        <v>10</v>
      </c>
      <c r="G17" s="403">
        <f>IF(ISNUMBER(IF(D_I="SI",Datos!K17,Datos!K17+Datos!AE17)),IF(D_I="SI",Datos!K17,Datos!K17+Datos!AE17)," - ")</f>
        <v>25</v>
      </c>
      <c r="H17" s="404">
        <f>IF(ISNUMBER(G17/B17),G17/B17," - ")</f>
        <v>25</v>
      </c>
      <c r="I17" s="403">
        <f>IF(ISNUMBER(IF(D_I="SI",Datos!L17,Datos!L17+Datos!AF17)),IF(D_I="SI",Datos!L17,Datos!L17+Datos!AF17)," - ")</f>
        <v>111</v>
      </c>
      <c r="J17" s="404">
        <f>IF(ISNUMBER(I17/B17),I17/B17," - ")</f>
        <v>111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3316</v>
      </c>
      <c r="D18" s="850" t="str">
        <f>IF(ISNUMBER(C18/Datos!BI18),C18/Datos!BI18," - ")</f>
        <v xml:space="preserve"> - </v>
      </c>
      <c r="E18" s="849">
        <f>SUBTOTAL(9,E14:E17)</f>
        <v>2471</v>
      </c>
      <c r="F18" s="850">
        <f>IF(ISNUMBER(E18/B18),E18/B18," - ")</f>
        <v>823.66666666666663</v>
      </c>
      <c r="G18" s="849">
        <f>SUBTOTAL(9,G14:G17)</f>
        <v>2371</v>
      </c>
      <c r="H18" s="850">
        <f>IF(ISNUMBER(G18/B18),G18/B18," - ")</f>
        <v>790.33333333333337</v>
      </c>
      <c r="I18" s="849">
        <f>SUBTOTAL(9,I14:I17)</f>
        <v>3418</v>
      </c>
      <c r="J18" s="850">
        <f>IF(ISNUMBER(I18/B18),I18/B18," - ")</f>
        <v>1139.3333333333333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16257</v>
      </c>
      <c r="D19" s="795" t="str">
        <f>IF(ISNUMBER(C19/Datos!BI19),C19/Datos!BI19," - ")</f>
        <v xml:space="preserve"> - </v>
      </c>
      <c r="E19" s="794">
        <f>SUBTOTAL(9,E9:E18)</f>
        <v>8624</v>
      </c>
      <c r="F19" s="795">
        <f>IF(ISNUMBER(E19/B19),E19/B19," - ")</f>
        <v>958.22222222222217</v>
      </c>
      <c r="G19" s="794">
        <f>SUBTOTAL(9,G9:G18)</f>
        <v>7360</v>
      </c>
      <c r="H19" s="795">
        <f>IF(ISNUMBER(G19/B19),G19/B19," - ")</f>
        <v>817.77777777777783</v>
      </c>
      <c r="I19" s="794">
        <f>SUBTOTAL(9,I9:I18)</f>
        <v>17523</v>
      </c>
      <c r="J19" s="795">
        <f>IF(ISNUMBER(I19/B19),I19/B19," - ")</f>
        <v>1947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FiAonmtjGrKNz+wwmw5d76AOWL+++tlAGqdNWunpqd4HQ8aQkHsUmy1uAKB2T16BFY2a1VRNyvXrV0KR8CnhbA==" saltValue="JlCc1WkdKXqugqt+TALJ1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TELDE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118</v>
      </c>
      <c r="G10" s="684">
        <f>IF(ISNUMBER(Datos!I10),Datos!I10," - ")</f>
        <v>118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91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7.1842105263157903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118</v>
      </c>
      <c r="G13" s="938">
        <f t="shared" si="0"/>
        <v>118</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0</v>
      </c>
      <c r="AE13" s="939">
        <f t="shared" si="1"/>
        <v>0</v>
      </c>
      <c r="AF13" s="939">
        <f t="shared" si="1"/>
        <v>91</v>
      </c>
      <c r="AG13" s="939">
        <f t="shared" si="1"/>
        <v>0</v>
      </c>
      <c r="AH13" s="939">
        <f t="shared" si="1"/>
        <v>0</v>
      </c>
      <c r="AI13" s="939">
        <f t="shared" si="1"/>
        <v>0</v>
      </c>
      <c r="AJ13" s="939">
        <f t="shared" si="1"/>
        <v>0</v>
      </c>
      <c r="AK13" s="939">
        <f t="shared" si="1"/>
        <v>0</v>
      </c>
      <c r="AL13" s="939">
        <f t="shared" si="1"/>
        <v>24</v>
      </c>
      <c r="AM13" s="939">
        <f t="shared" si="1"/>
        <v>7</v>
      </c>
      <c r="AN13" s="939">
        <f t="shared" si="1"/>
        <v>0</v>
      </c>
      <c r="AO13" s="939">
        <f t="shared" si="1"/>
        <v>0</v>
      </c>
      <c r="AP13" s="944">
        <f>IF(ISNUMBER(((Datos!L13/Datos!K13)*11)/factor_trimestre),((Datos!L13/Datos!K13)*11)/factor_trimestre," - ")</f>
        <v>8.5217033532195021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-0.32203389830508472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4.3247574862927038</v>
      </c>
      <c r="AQ18" s="944">
        <f>IF(ISNUMBER(((Datos!M18/Datos!L18)*11)/factor_trimestre),((Datos!M18/Datos!L18)*11)/factor_trimestre," - ")</f>
        <v>0.3660035108250439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8.7677725118483416E-2</v>
      </c>
      <c r="AW18" s="946">
        <f>IF(ISNUMBER((Datos!Q18-Datos!R18)/(Datos!S18-Datos!Q18+Datos!R18)),(Datos!Q18-Datos!R18)/(Datos!S18-Datos!Q18+Datos!R18)," - ")</f>
        <v>-0.1236386931454196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118</v>
      </c>
      <c r="G19" s="951">
        <f t="shared" si="4"/>
        <v>118</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0</v>
      </c>
      <c r="AE19" s="957">
        <f t="shared" si="5"/>
        <v>0</v>
      </c>
      <c r="AF19" s="958">
        <f t="shared" si="5"/>
        <v>91</v>
      </c>
      <c r="AG19" s="958">
        <f t="shared" si="5"/>
        <v>0</v>
      </c>
      <c r="AH19" s="958">
        <f t="shared" si="5"/>
        <v>0</v>
      </c>
      <c r="AI19" s="958">
        <f t="shared" si="5"/>
        <v>0</v>
      </c>
      <c r="AJ19" s="959">
        <f t="shared" si="5"/>
        <v>0</v>
      </c>
      <c r="AK19" s="959">
        <f t="shared" si="5"/>
        <v>0</v>
      </c>
      <c r="AL19" s="951">
        <f t="shared" si="5"/>
        <v>24</v>
      </c>
      <c r="AM19" s="951">
        <f t="shared" si="5"/>
        <v>7</v>
      </c>
      <c r="AN19" s="951">
        <f t="shared" si="5"/>
        <v>0</v>
      </c>
      <c r="AO19" s="951">
        <f t="shared" si="5"/>
        <v>0</v>
      </c>
      <c r="AP19" s="951">
        <f>IF(ISNUMBER(((Datos!L19/Datos!K19)*11)/factor_trimestre),((Datos!L19/Datos!K19)*11)/factor_trimestre," - ")</f>
        <v>7.1457411504424773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-0.32203389830508472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2.0337119824111394E-2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68.127331764375839</v>
      </c>
      <c r="G21" s="737">
        <f>IF(ISNUMBER(STDEV(G8:G18)),STDEV(G8:G18),"-")</f>
        <v>68.127331764375839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13.856406460551018</v>
      </c>
      <c r="AM21" s="736"/>
      <c r="AN21" s="736">
        <f>IF(ISNUMBER(STDEV(AN8:AN18)),STDEV(AN8:AN18),"-")</f>
        <v>0</v>
      </c>
      <c r="AO21" s="742">
        <f>IF(ISNUMBER(STDEV(AO8:AO18)),STDEV(AO8:AO18),"-")</f>
        <v>0</v>
      </c>
      <c r="AP21" s="779">
        <f>IF(ISNUMBER(STDEV(AP8:AP18)),STDEV(AP8:AP18),"-")</f>
        <v>2.1439726895038471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f295gl6cxUiI0nOHXITz3nhVkt7NpaeVBBpZvbTx35Ai4A0kXS2jPSu9IZb6MJ4yjHL7CoMCPreMhRunU8ZM8w==" saltValue="JcMNIzuJ36oIyNKbcWdwT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TELDE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nh9hA9JIlI1uUK3Arxng7tQhaXunHUb3vdY1iRuydysqxoH9txHmdEpN2M7G4v2uTH45pyxgTHpHYRzINM28Q==" saltValue="X2Ed4+O83pmbYr5iychb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TELDE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1421</v>
      </c>
      <c r="E9" s="404">
        <f t="shared" ref="E9:E13" si="0">IF(ISNUMBER(D9/B9),D9/B9," - ")</f>
        <v>236.83333333333334</v>
      </c>
      <c r="F9" s="403">
        <f>IF(ISNUMBER(Datos!N9),Datos!N9," - ")</f>
        <v>2423</v>
      </c>
      <c r="G9" s="404">
        <f t="shared" ref="G9:G13" si="1">IF(ISNUMBER(F9/B9),F9/B9," - ")</f>
        <v>403.83333333333331</v>
      </c>
      <c r="H9" s="403">
        <f>IF(ISNUMBER(Datos!O9),Datos!O9," - ")</f>
        <v>1107</v>
      </c>
      <c r="I9" s="404">
        <f>IF(ISNUMBER(H9/B9),H9/B9," - ")</f>
        <v>184.5</v>
      </c>
      <c r="BZ9" s="1186">
        <f>Datos!EZ9</f>
        <v>0</v>
      </c>
    </row>
    <row r="10" spans="1:78">
      <c r="A10" s="402" t="str">
        <f>Datos!A10</f>
        <v>Jdos. Violencia contra la mujer</v>
      </c>
      <c r="B10" s="427">
        <f>Datos!AO10</f>
        <v>1</v>
      </c>
      <c r="C10" s="410">
        <f>Datos!AQ10</f>
        <v>0</v>
      </c>
      <c r="D10" s="403">
        <f>IF(ISNUMBER(Datos!M10),Datos!M10," - ")</f>
        <v>24</v>
      </c>
      <c r="E10" s="404">
        <f>IF(ISNUMBER(D10/B10),D10/B10," - ")</f>
        <v>24</v>
      </c>
      <c r="F10" s="403">
        <f>IF(ISNUMBER(Datos!N10),Datos!N10," - ")</f>
        <v>7</v>
      </c>
      <c r="G10" s="404">
        <f>IF(ISNUMBER(F10/B10),F10/B10," - ")</f>
        <v>7</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1445</v>
      </c>
      <c r="E13" s="850">
        <f t="shared" si="0"/>
        <v>240.83333333333334</v>
      </c>
      <c r="F13" s="849">
        <f>SUBTOTAL(9,F9:F12)</f>
        <v>2430</v>
      </c>
      <c r="G13" s="850">
        <f t="shared" si="1"/>
        <v>405</v>
      </c>
      <c r="H13" s="849">
        <f>SUBTOTAL(9,H9:H12)</f>
        <v>1107</v>
      </c>
      <c r="I13" s="850">
        <f>IF(ISNUMBER(H13/B13),H13/B13," - ")</f>
        <v>184.5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417</v>
      </c>
      <c r="E15" s="404">
        <f t="shared" ref="E15:E18" si="3">IF(ISNUMBER(D15/B15),D15/B15," - ")</f>
        <v>139</v>
      </c>
      <c r="F15" s="403">
        <f>IF(ISNUMBER(Datos!N15),Datos!N15," - ")</f>
        <v>1367</v>
      </c>
      <c r="G15" s="404">
        <f t="shared" ref="G15:G18" si="4">IF(ISNUMBER(F15/B15),F15/B15," - ")</f>
        <v>455.66666666666669</v>
      </c>
      <c r="H15" s="403">
        <f>IF(ISNUMBER(Datos!O15),Datos!O15," - ")</f>
        <v>39</v>
      </c>
      <c r="I15" s="404">
        <f t="shared" ref="I15:I17" si="5">IF(ISNUMBER(H15/B15),H15/B15," - ")</f>
        <v>13</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2</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417</v>
      </c>
      <c r="E18" s="850">
        <f t="shared" si="3"/>
        <v>139</v>
      </c>
      <c r="F18" s="849">
        <f>SUBTOTAL(9,F15:F17)</f>
        <v>1369</v>
      </c>
      <c r="G18" s="850">
        <f t="shared" si="4"/>
        <v>456.33333333333331</v>
      </c>
      <c r="H18" s="849">
        <f>SUBTOTAL(9,H15:H17)</f>
        <v>39</v>
      </c>
      <c r="I18" s="850">
        <f>IF(ISNUMBER(H18/B18),H18/B18," - ")</f>
        <v>13</v>
      </c>
      <c r="BZ18" s="1186"/>
    </row>
    <row r="19" spans="1:78" ht="14.25" thickTop="1" thickBot="1">
      <c r="A19" s="793" t="str">
        <f>Datos!A19</f>
        <v>TOTAL JURISDICCIONES</v>
      </c>
      <c r="B19" s="794">
        <f>Datos!AP19</f>
        <v>9</v>
      </c>
      <c r="C19" s="794">
        <f>Datos!AR19</f>
        <v>9</v>
      </c>
      <c r="D19" s="794">
        <f>SUBTOTAL(9,D8:D18)</f>
        <v>1862</v>
      </c>
      <c r="E19" s="795">
        <f>IF(ISNUMBER(D19/B19),D19/B19," - ")</f>
        <v>206.88888888888889</v>
      </c>
      <c r="F19" s="794">
        <f>SUBTOTAL(9,F8:F18)</f>
        <v>3799</v>
      </c>
      <c r="G19" s="795">
        <f>IF(ISNUMBER(F19/B19),F19/B19," - ")</f>
        <v>422.11111111111109</v>
      </c>
      <c r="H19" s="794">
        <f>SUBTOTAL(9,H8:H18)</f>
        <v>1146</v>
      </c>
      <c r="I19" s="795">
        <f>IF(ISNUMBER(H19/B19),H19/B19," - ")</f>
        <v>127.33333333333333</v>
      </c>
    </row>
    <row r="22" spans="1:78">
      <c r="A22" s="391" t="str">
        <f>Criterios!A4</f>
        <v>Fecha Informe: 03 jun. 2025</v>
      </c>
    </row>
    <row r="27" spans="1:78">
      <c r="A27" s="414"/>
    </row>
  </sheetData>
  <sheetProtection algorithmName="SHA-512" hashValue="mga8UfQzibpXk+0nby0nRQK5irTaKop28WMdTdgUhZYK3QbVxAsMURwsOPmwyfI0EsyG1yPjC2uqqE/AdDQnoA==" saltValue="+37eyULXMYoog5SsvRpb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TELDE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602</v>
      </c>
      <c r="C9" s="434">
        <f>IF(ISNUMBER(Datos!Q9),Datos!Q9," - ")</f>
        <v>420</v>
      </c>
      <c r="D9" s="408">
        <f>IF(ISNUMBER(Datos!R9),Datos!R9," - ")</f>
        <v>10556</v>
      </c>
    </row>
    <row r="10" spans="1:4">
      <c r="A10" s="402" t="str">
        <f>Datos!A10</f>
        <v>Jdos. Violencia contra la mujer</v>
      </c>
      <c r="B10" s="433">
        <f>IF(ISNUMBER(Datos!P10),Datos!P10," - ")</f>
        <v>3</v>
      </c>
      <c r="C10" s="434">
        <f>IF(ISNUMBER(Datos!Q10),Datos!Q10," - ")</f>
        <v>0</v>
      </c>
      <c r="D10" s="408">
        <f>IF(ISNUMBER(Datos!R10),Datos!R10," - ")</f>
        <v>123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605</v>
      </c>
      <c r="C13" s="853">
        <f>SUBTOTAL(9,C9:C12)</f>
        <v>420</v>
      </c>
      <c r="D13" s="851">
        <f>SUBTOTAL(9,D9:D12)</f>
        <v>10679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110</v>
      </c>
      <c r="C15" s="434">
        <f>IF(ISNUMBER(Datos!Q15),Datos!Q15," - ")</f>
        <v>65</v>
      </c>
      <c r="D15" s="408">
        <f>IF(ISNUMBER(Datos!R15),Datos!R15," - ")</f>
        <v>455</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8</v>
      </c>
      <c r="D17" s="408">
        <f>IF(ISNUMBER(Datos!R17),Datos!R17," - ")</f>
        <v>4</v>
      </c>
    </row>
    <row r="18" spans="1:4" ht="14.25" thickTop="1" thickBot="1">
      <c r="A18" s="848" t="str">
        <f>Datos!A18</f>
        <v>TOTAL</v>
      </c>
      <c r="B18" s="849">
        <f>SUBTOTAL(9,B15:B17)</f>
        <v>110</v>
      </c>
      <c r="C18" s="853">
        <f>SUBTOTAL(9,C15:C17)</f>
        <v>73</v>
      </c>
      <c r="D18" s="851">
        <f>SUBTOTAL(9,D15:D17)</f>
        <v>459</v>
      </c>
    </row>
    <row r="19" spans="1:4" ht="16.5" customHeight="1" thickTop="1" thickBot="1">
      <c r="A19" s="793" t="str">
        <f>Datos!A19</f>
        <v>TOTAL JURISDICCIONES</v>
      </c>
      <c r="B19" s="798">
        <f>SUBTOTAL(9,B8:B18)</f>
        <v>715</v>
      </c>
      <c r="C19" s="799">
        <f>SUBTOTAL(9,C8:C18)</f>
        <v>493</v>
      </c>
      <c r="D19" s="800">
        <f>SUBTOTAL(9,D8:D18)</f>
        <v>11138</v>
      </c>
    </row>
    <row r="20" spans="1:4" ht="7.5" customHeight="1"/>
    <row r="21" spans="1:4" ht="6" customHeight="1"/>
    <row r="22" spans="1:4">
      <c r="A22" s="391" t="str">
        <f>Criterios!A4</f>
        <v>Fecha Informe: 03 jun. 2025</v>
      </c>
    </row>
    <row r="27" spans="1:4">
      <c r="A27" s="414"/>
    </row>
  </sheetData>
  <sheetProtection algorithmName="SHA-512" hashValue="5afNgFMoKdkXsnkLwSJQTzu3RPAKsX2KEvBoUk16ImxBB0BVzwcahd5xPSCKFdPx9aDCQb6mdn63f2dbKPmT9Q==" saltValue="mQ7ANUtsMjZzwlk2x9BH2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TELDE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0.27452539508995127</v>
      </c>
      <c r="C9" s="456">
        <f>IF(ISNUMBER(
   IF(J_V="SI",(Datos!J9-Datos!T9)/Datos!T9,(Datos!J9+Datos!Z9-(Datos!T9+Datos!AH9))/(Datos!T9+Datos!AH9))
     ),IF(J_V="SI",(Datos!J9-Datos!T9)/Datos!T9,(Datos!J9+Datos!Z9-(Datos!T9+Datos!AH9))/(Datos!T9+Datos!AH9))," - ")</f>
        <v>0.52976338729763384</v>
      </c>
      <c r="D9" s="456">
        <f>IF(ISNUMBER(
   IF(J_V="SI",(Datos!K9-Datos!U9)/Datos!U9,(Datos!K9+Datos!AA9-(Datos!U9+Datos!AI9))/(Datos!U9+Datos!AI9))
     ),IF(J_V="SI",(Datos!K9-Datos!U9)/Datos!U9,(Datos!K9+Datos!AA9-(Datos!U9+Datos!AI9))/(Datos!U9+Datos!AI9))," - ")</f>
        <v>0.27899767501937484</v>
      </c>
      <c r="E9" s="456">
        <f>IF(ISNUMBER(
   IF(J_V="SI",(Datos!L9-Datos!V9)/Datos!V9,(Datos!L9+Datos!AB9-(Datos!V9+Datos!AJ9))/(Datos!V9+Datos!AJ9))
     ),IF(J_V="SI",(Datos!L9-Datos!V9)/Datos!V9,(Datos!L9+Datos!AB9-(Datos!V9+Datos!AJ9))/(Datos!V9+Datos!AJ9))," - ")</f>
        <v>0.37324840764331207</v>
      </c>
      <c r="F9" s="456">
        <f>IF(ISNUMBER((Datos!M9-Datos!W9)/Datos!W9),(Datos!M9-Datos!W9)/Datos!W9," - ")</f>
        <v>0.43825910931174089</v>
      </c>
      <c r="G9" s="457">
        <f>IF(ISNUMBER((Datos!N9-Datos!X9)/Datos!X9),(Datos!N9-Datos!X9)/Datos!X9," - ")</f>
        <v>0.26066597294484911</v>
      </c>
      <c r="H9" s="455">
        <f>IF(ISNUMBER(((NºAsuntos!G9/NºAsuntos!E9)-Datos!BD9)/Datos!BD9),((NºAsuntos!G9/NºAsuntos!E9)-Datos!BD9)/Datos!BD9," - ")</f>
        <v>-0.16392450908453429</v>
      </c>
      <c r="I9" s="456">
        <f>IF(ISNUMBER(((NºAsuntos!I9/NºAsuntos!G9)-Datos!BE9)/Datos!BE9),((NºAsuntos!I9/NºAsuntos!G9)-Datos!BE9)/Datos!BE9," - ")</f>
        <v>7.3691089878259036E-2</v>
      </c>
      <c r="J9" s="461">
        <f>IF(ISNUMBER((('Resol  Asuntos'!D9/NºAsuntos!G9)-Datos!BF9)/Datos!BF9),(('Resol  Asuntos'!D9/NºAsuntos!G9)-Datos!BF9)/Datos!BF9," - ")</f>
        <v>-0.42194263406776628</v>
      </c>
      <c r="K9" s="462">
        <f>IF(ISNUMBER((((NºAsuntos!C9+NºAsuntos!E9)/NºAsuntos!G9)-Datos!BG9)/Datos!BG9),(((NºAsuntos!C9+NºAsuntos!E9)/NºAsuntos!G9)-Datos!BG9)/Datos!BG9," - ")</f>
        <v>5.342551663879181E-2</v>
      </c>
    </row>
    <row r="10" spans="1:11">
      <c r="A10" s="402" t="str">
        <f>Datos!A10</f>
        <v>Jdos. Violencia contra la mujer</v>
      </c>
      <c r="B10" s="455">
        <f>IF(ISNUMBER((Datos!I10-Datos!S10)/Datos!S10),(Datos!I10-Datos!S10)/Datos!S10," - ")</f>
        <v>-0.39795918367346939</v>
      </c>
      <c r="C10" s="456">
        <f>IF(ISNUMBER((Datos!J10-Datos!T10)/Datos!T10),(Datos!J10-Datos!T10)/Datos!T10," - ")</f>
        <v>-0.828125</v>
      </c>
      <c r="D10" s="456">
        <f>IF(ISNUMBER((Datos!K10-Datos!U10)/Datos!U10),(Datos!K10-Datos!U10)/Datos!U10," - ")</f>
        <v>-0.42424242424242425</v>
      </c>
      <c r="E10" s="456">
        <f>IF(ISNUMBER((Datos!L10-Datos!V10)/Datos!V10),(Datos!L10-Datos!V10)/Datos!V10," - ")</f>
        <v>-0.53092783505154639</v>
      </c>
      <c r="F10" s="456">
        <f>IF(ISNUMBER((Datos!M10-Datos!W10)/Datos!W10),(Datos!M10-Datos!W10)/Datos!W10," - ")</f>
        <v>0.14285714285714285</v>
      </c>
      <c r="G10" s="457">
        <f>IF(ISNUMBER((Datos!N10-Datos!X10)/Datos!X10),(Datos!N10-Datos!X10)/Datos!X10," - ")</f>
        <v>-0.69565217391304346</v>
      </c>
      <c r="H10" s="455">
        <f>IF(ISNUMBER(((NºAsuntos!G10/NºAsuntos!E10)-Datos!BD10)/Datos!BD10),((NºAsuntos!G10/NºAsuntos!E10)-Datos!BD10)/Datos!BD10," - ")</f>
        <v>2.3498622589531681</v>
      </c>
      <c r="I10" s="456">
        <f>IF(ISNUMBER(((NºAsuntos!I10/NºAsuntos!G10)-Datos!BE10)/Datos!BE10),((NºAsuntos!I10/NºAsuntos!G10)-Datos!BE10)/Datos!BE10," - ")</f>
        <v>-0.18529571351058055</v>
      </c>
      <c r="J10" s="461">
        <f>IF(ISNUMBER((('Resol  Asuntos'!D10/NºAsuntos!G10)-Datos!BF10)/Datos!BF10),(('Resol  Asuntos'!D10/NºAsuntos!G10)-Datos!BF10)/Datos!BF10," - ")</f>
        <v>0.98496240601503748</v>
      </c>
      <c r="K10" s="462">
        <f>IF(ISNUMBER((((NºAsuntos!C10+NºAsuntos!E10)/NºAsuntos!G10)-Datos!BG10)/Datos!BG10),(((NºAsuntos!C10+NºAsuntos!E10)/NºAsuntos!G10)-Datos!BG10)/Datos!BG10," - ")</f>
        <v>-0.13825910931174087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0.2616749536901628</v>
      </c>
      <c r="C13" s="855">
        <f>IF(ISNUMBER(
   IF(J_V="SI",(Datos!J13-Datos!T13)/Datos!T13,(Datos!J13+Datos!Z13-(Datos!T13+Datos!AH13))/(Datos!T13+Datos!AH13))
     ),IF(J_V="SI",(Datos!J13-Datos!T13)/Datos!T13,(Datos!J13+Datos!Z13-(Datos!T13+Datos!AH13))/(Datos!T13+Datos!AH13))," - ")</f>
        <v>0.50845795538122085</v>
      </c>
      <c r="D13" s="855">
        <f>IF(ISNUMBER(
   IF(J_V="SI",(Datos!K13-Datos!U13)/Datos!U13,(Datos!K13+Datos!AA13-(Datos!U13+Datos!AI13))/(Datos!U13+Datos!AI13))
     ),IF(J_V="SI",(Datos!K13-Datos!U13)/Datos!U13,(Datos!K13+Datos!AA13-(Datos!U13+Datos!AI13))/(Datos!U13+Datos!AI13))," - ")</f>
        <v>0.26720853441706882</v>
      </c>
      <c r="E13" s="855">
        <f>IF(ISNUMBER(
   IF(J_V="SI",(Datos!L13-Datos!V13)/Datos!V13,(Datos!L13+Datos!AB13-(Datos!V13+Datos!AJ13))/(Datos!V13+Datos!AJ13))
     ),IF(J_V="SI",(Datos!L13-Datos!V13)/Datos!V13,(Datos!L13+Datos!AB13-(Datos!V13+Datos!AJ13))/(Datos!V13+Datos!AJ13))," - ")</f>
        <v>0.3563804211943456</v>
      </c>
      <c r="F13" s="856">
        <f>IF(ISNUMBER((Datos!M13-Datos!W13)/Datos!W13),(Datos!M13-Datos!W13)/Datos!W13," - ")</f>
        <v>0.4321110009910803</v>
      </c>
      <c r="G13" s="857">
        <f>IF(ISNUMBER((Datos!N13-Datos!X13)/Datos!X13),(Datos!N13-Datos!X13)/Datos!X13," - ")</f>
        <v>0.24935732647814909</v>
      </c>
      <c r="H13" s="857">
        <f>IF(ISNUMBER(((NºAsuntos!G13/NºAsuntos!E13)-Datos!BD13)/Datos!BD13),((NºAsuntos!G13/NºAsuntos!E13)-Datos!BD13)/Datos!BD13," - ")</f>
        <v>-0.15993115360194649</v>
      </c>
      <c r="I13" s="857">
        <f>IF(ISNUMBER(((NºAsuntos!I13/NºAsuntos!G13)-Datos!BE13)/Datos!BE13),((NºAsuntos!I13/NºAsuntos!G13)-Datos!BE13)/Datos!BE13," - ")</f>
        <v>7.0368754909227949E-2</v>
      </c>
      <c r="J13" s="857">
        <f>IF(ISNUMBER((('Resol  Asuntos'!D13/NºAsuntos!G13)-Datos!BF13)/Datos!BF13),(('Resol  Asuntos'!D13/NºAsuntos!G13)-Datos!BF13)/Datos!BF13," - ")</f>
        <v>-0.41312317876476984</v>
      </c>
      <c r="K13" s="857">
        <f>IF(ISNUMBER((((NºAsuntos!C13+NºAsuntos!E13)/NºAsuntos!G13)-Datos!BG13)/Datos!BG13),(((NºAsuntos!C13+NºAsuntos!E13)/NºAsuntos!G13)-Datos!BG13)/Datos!BG13," - ")</f>
        <v>5.1043853397116451E-2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0.23622963537626065</v>
      </c>
      <c r="C15" s="456">
        <f>IF(ISNUMBER(
   IF(D_I="SI",(Datos!J15-Datos!T15)/Datos!T15,(Datos!J15+Datos!AD15-(Datos!T15+Datos!AL15))/(Datos!T15+Datos!AL15))
     ),IF(D_I="SI",(Datos!J15-Datos!T15)/Datos!T15,(Datos!J15+Datos!AD15-(Datos!T15+Datos!AL15))/(Datos!T15+Datos!AL15))," - ")</f>
        <v>-2.2637013502779985E-2</v>
      </c>
      <c r="D15" s="456">
        <f>IF(ISNUMBER(
   IF(D_I="SI",(Datos!K15-Datos!U15)/Datos!U15,(Datos!K15+Datos!AE15-(Datos!U15+Datos!AM15))/(Datos!U15+Datos!AM15))
     ),IF(D_I="SI",(Datos!K15-Datos!U15)/Datos!U15,(Datos!K15+Datos!AE15-(Datos!U15+Datos!AM15))/(Datos!U15+Datos!AM15))," - ")</f>
        <v>-1.4712063892391762E-2</v>
      </c>
      <c r="E15" s="456">
        <f>IF(ISNUMBER(
   IF(D_I="SI",(Datos!L15-Datos!V15)/Datos!V15,(Datos!L15+Datos!AF15-(Datos!V15+Datos!AN15))/(Datos!V15+Datos!AN15))
     ),IF(D_I="SI",(Datos!L15-Datos!V15)/Datos!V15,(Datos!L15+Datos!AF15-(Datos!V15+Datos!AN15))/(Datos!V15+Datos!AN15))," - ")</f>
        <v>0.22308546059933407</v>
      </c>
      <c r="F15" s="456">
        <f>IF(ISNUMBER((Datos!M15-Datos!W15)/Datos!W15),(Datos!M15-Datos!W15)/Datos!W15," - ")</f>
        <v>0.31132075471698112</v>
      </c>
      <c r="G15" s="457">
        <f>IF(ISNUMBER((Datos!N15-Datos!X15)/Datos!X15),(Datos!N15-Datos!X15)/Datos!X15," - ")</f>
        <v>-0.14348370927318296</v>
      </c>
      <c r="H15" s="455">
        <f>IF(ISNUMBER(((NºAsuntos!G15/NºAsuntos!E15)-Datos!BD15)/Datos!BD15),((NºAsuntos!G15/NºAsuntos!E15)-Datos!BD15)/Datos!BD15," - ")</f>
        <v>8.1085018768620506E-3</v>
      </c>
      <c r="I15" s="456">
        <f>IF(ISNUMBER(((NºAsuntos!I15/NºAsuntos!G15)-Datos!BE15)/Datos!BE15),((NºAsuntos!I15/NºAsuntos!G15)-Datos!BE15)/Datos!BE15," - ")</f>
        <v>0.241348255446167</v>
      </c>
      <c r="J15" s="461">
        <f>IF(ISNUMBER((('Resol  Asuntos'!D15/NºAsuntos!G15)-Datos!BF15)/Datos!BF15),(('Resol  Asuntos'!D15/NºAsuntos!G15)-Datos!BF15)/Datos!BF15," - ")</f>
        <v>0.33090105608860854</v>
      </c>
      <c r="K15" s="462">
        <f>IF(ISNUMBER((((NºAsuntos!C15+NºAsuntos!E15)/NºAsuntos!G15)-Datos!BG15)/Datos!BG15),(((NºAsuntos!C15+NºAsuntos!E15)/NºAsuntos!G15)-Datos!BG15)/Datos!BG15," - ")</f>
        <v>0.12486940168558877</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-0.75</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-0.18181818181818182</v>
      </c>
      <c r="C17" s="456">
        <f>IF(ISNUMBER(
   IF(D_I="SI",(Datos!J17-Datos!T17)/Datos!T17,(Datos!J17+Datos!AD17-(Datos!T17+Datos!AL17))/(Datos!T17+Datos!AL17))
     ),IF(D_I="SI",(Datos!J17-Datos!T17)/Datos!T17,(Datos!J17+Datos!AD17-(Datos!T17+Datos!AL17))/(Datos!T17+Datos!AL17))," - ")</f>
        <v>-0.9242424242424242</v>
      </c>
      <c r="D17" s="456">
        <f>IF(ISNUMBER(
   IF(D_I="SI",(Datos!K17-Datos!U17)/Datos!U17,(Datos!K17+Datos!AE17-(Datos!U17+Datos!AM17))/(Datos!U17+Datos!AM17))
     ),IF(D_I="SI",(Datos!K17-Datos!U17)/Datos!U17,(Datos!K17+Datos!AE17-(Datos!U17+Datos!AM17))/(Datos!U17+Datos!AM17))," - ")</f>
        <v>-0.81481481481481477</v>
      </c>
      <c r="E17" s="456">
        <f>IF(ISNUMBER(
   IF(D_I="SI",(Datos!L17-Datos!V17)/Datos!V17,(Datos!L17+Datos!AF17-(Datos!V17+Datos!AN17))/(Datos!V17+Datos!AN17))
     ),IF(D_I="SI",(Datos!L17-Datos!V17)/Datos!V17,(Datos!L17+Datos!AF17-(Datos!V17+Datos!AN17))/(Datos!V17+Datos!AN17))," - ")</f>
        <v>-0.26490066225165565</v>
      </c>
      <c r="F17" s="456">
        <f>IF(ISNUMBER((Datos!M17-Datos!W17)/Datos!W17),(Datos!M17-Datos!W17)/Datos!W17," - ")</f>
        <v>-1</v>
      </c>
      <c r="G17" s="457">
        <f>IF(ISNUMBER((Datos!N17-Datos!X17)/Datos!X17),(Datos!N17-Datos!X17)/Datos!X17," - ")</f>
        <v>-1</v>
      </c>
      <c r="H17" s="455">
        <f>IF(ISNUMBER(((NºAsuntos!G17/NºAsuntos!E17)-Datos!BD17)/Datos!BD17),((NºAsuntos!G17/NºAsuntos!E17)-Datos!BD17)/Datos!BD17," - ")</f>
        <v>1.4444444444444444</v>
      </c>
      <c r="I17" s="456">
        <f>IF(ISNUMBER(((NºAsuntos!I17/NºAsuntos!G17)-Datos!BE17)/Datos!BE17),((NºAsuntos!I17/NºAsuntos!G17)-Datos!BE17)/Datos!BE17," - ")</f>
        <v>2.9695364238410598</v>
      </c>
      <c r="J17" s="461">
        <f>IF(ISNUMBER((('Resol  Asuntos'!D17/NºAsuntos!G17)-Datos!BF17)/Datos!BF17),(('Resol  Asuntos'!D17/NºAsuntos!G17)-Datos!BF17)/Datos!BF17," - ")</f>
        <v>-1</v>
      </c>
      <c r="K17" s="462">
        <f>IF(ISNUMBER((((NºAsuntos!C17+NºAsuntos!E17)/NºAsuntos!G17)-Datos!BG17)/Datos!BG17),(((NºAsuntos!C17+NºAsuntos!E17)/NºAsuntos!G17)-Datos!BG17)/Datos!BG17," - ")</f>
        <v>1.5678321678321678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0.21198830409356725</v>
      </c>
      <c r="C18" s="855">
        <f>IF(ISNUMBER(
   IF(Criterios!B14="SI",(Datos!J18-Datos!T18)/Datos!T18,(Datos!J18+Datos!AD18-(Datos!T18+Datos!AL18))/(Datos!T18+Datos!AL18))
     ),IF(Criterios!B14="SI",(Datos!J18-Datos!T18)/Datos!T18,(Datos!J18+Datos!AD18-(Datos!T18+Datos!AL18))/(Datos!T18+Datos!AL18))," - ")</f>
        <v>-6.7547169811320751E-2</v>
      </c>
      <c r="D18" s="855">
        <f>IF(ISNUMBER(
   IF(Criterios!B14="SI",(Datos!K18-Datos!U18)/Datos!U18,(Datos!K18+Datos!AE18-(Datos!U18+Datos!AM18))/(Datos!U18+Datos!AM18))
     ),IF(Criterios!B14="SI",(Datos!K18-Datos!U18)/Datos!U18,(Datos!K18+Datos!AE18-(Datos!U18+Datos!AM18))/(Datos!U18+Datos!AM18))," - ")</f>
        <v>-5.6881463802704854E-2</v>
      </c>
      <c r="E18" s="855">
        <f>IF(ISNUMBER(
   IF(Criterios!B14="SI",(Datos!L18-Datos!V18)/Datos!V18,(Datos!L18+Datos!AF18-(Datos!V18+Datos!AN18))/(Datos!V18+Datos!AN18))
     ),IF(Criterios!B14="SI",(Datos!L18-Datos!V18)/Datos!V18,(Datos!L18+Datos!AF18-(Datos!V18+Datos!AN18))/(Datos!V18+Datos!AN18))," - ")</f>
        <v>0.19594121763470959</v>
      </c>
      <c r="F18" s="856">
        <f>IF(ISNUMBER((Datos!M18-Datos!W18)/Datos!W18),(Datos!M18-Datos!W18)/Datos!W18," - ")</f>
        <v>0.10610079575596817</v>
      </c>
      <c r="G18" s="857">
        <f>IF(ISNUMBER((Datos!N18-Datos!X18)/Datos!X18),(Datos!N18-Datos!X18)/Datos!X18," - ")</f>
        <v>-0.18122009569377989</v>
      </c>
      <c r="H18" s="857">
        <f>IF(ISNUMBER(((NºAsuntos!G18/NºAsuntos!E18)-Datos!BD18)/Datos!BD18),((NºAsuntos!G18/NºAsuntos!E18)-Datos!BD18)/Datos!BD18," - ")</f>
        <v>1.1438333032307709E-2</v>
      </c>
      <c r="I18" s="857">
        <f>IF(ISNUMBER(((NºAsuntos!I18/NºAsuntos!G18)-Datos!BE18)/Datos!BE18),((NºAsuntos!I18/NºAsuntos!G18)-Datos!BE18)/Datos!BE18," - ")</f>
        <v>0.26807094944481652</v>
      </c>
      <c r="J18" s="857">
        <f>IF(ISNUMBER((('Resol  Asuntos'!D18/NºAsuntos!G18)-Datos!BF18)/Datos!BF18),(('Resol  Asuntos'!D18/NºAsuntos!G18)-Datos!BF18)/Datos!BF18," - ")</f>
        <v>0.17281206264466636</v>
      </c>
      <c r="K18" s="857">
        <f>IF(ISNUMBER((((NºAsuntos!C18+NºAsuntos!E18)/NºAsuntos!G18)-Datos!BG18)/Datos!BG18),(((NºAsuntos!C18+NºAsuntos!E18)/NºAsuntos!G18)-Datos!BG18)/Datos!BG18," - ")</f>
        <v>0.13925476221761793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0.2512121911798661</v>
      </c>
      <c r="C19" s="802">
        <f>IF(ISNUMBER(
   IF(J_V="SI",(Datos!J19-Datos!T19)/Datos!T19,(Datos!J19+Datos!Z19-(Datos!T19+Datos!AH19))/(Datos!T19+Datos!AH19))
     ),IF(J_V="SI",(Datos!J19-Datos!T19)/Datos!T19,(Datos!J19+Datos!Z19-(Datos!T19+Datos!AH19))/(Datos!T19+Datos!AH19))," - ")</f>
        <v>0.28161688215187991</v>
      </c>
      <c r="D19" s="802">
        <f>IF(ISNUMBER(
   IF(J_V="SI",(Datos!K19-Datos!U19)/Datos!U19,(Datos!K19+Datos!AA19-(Datos!U19+Datos!AI19))/(Datos!U19+Datos!AI19))
     ),IF(J_V="SI",(Datos!K19-Datos!U19)/Datos!U19,(Datos!K19+Datos!AA19-(Datos!U19+Datos!AI19))/(Datos!U19+Datos!AI19))," - ")</f>
        <v>0.14090838629669819</v>
      </c>
      <c r="E19" s="802">
        <f>IF(ISNUMBER(
   IF(J_V="SI",(Datos!L19-Datos!V19)/Datos!V19,(Datos!L19+Datos!AB19-(Datos!V19+Datos!AJ19))/(Datos!V19+Datos!AJ19))
     ),IF(J_V="SI",(Datos!L19-Datos!V19)/Datos!V19,(Datos!L19+Datos!AB19-(Datos!V19+Datos!AJ19))/(Datos!V19+Datos!AJ19))," - ")</f>
        <v>0.32179226069246436</v>
      </c>
      <c r="F19" s="803">
        <f>IF(ISNUMBER((Datos!M19-Datos!W19)/Datos!W19),(Datos!M19-Datos!W19)/Datos!W19," - ")</f>
        <v>0.34343434343434343</v>
      </c>
      <c r="G19" s="804">
        <f>IF(ISNUMBER((Datos!N19-Datos!X19)/Datos!X19),(Datos!N19-Datos!X19)/Datos!X19," - ")</f>
        <v>5.0317943046723802E-2</v>
      </c>
      <c r="H19" s="805">
        <f>IF(ISNUMBER((Tasas!B19-Datos!BD19)/Datos!BD19),(Tasas!B19-Datos!BD19)/Datos!BD19," - ")</f>
        <v>-0.10978982706511106</v>
      </c>
      <c r="I19" s="806">
        <f>IF(ISNUMBER((Tasas!C19-Datos!BE19)/Datos!BE19),(Tasas!C19-Datos!BE19)/Datos!BE19," - ")</f>
        <v>0.15854373284335441</v>
      </c>
      <c r="J19" s="807">
        <f>IF(ISNUMBER((Tasas!D19-Datos!BF19)/Datos!BF19),(Tasas!D19-Datos!BF19)/Datos!BF19," - ")</f>
        <v>-0.29653755153673167</v>
      </c>
      <c r="K19" s="807">
        <f>IF(ISNUMBER((Tasas!E19-Datos!BG19)/Datos!BG19),(Tasas!E19-Datos!BG19)/Datos!BG19," - ")</f>
        <v>0.10577331290811852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wI1Sm5bdh4O7WIWSvVPp8bhwEog4eoGswlFUNDcZppvThTkp0yTuqVqb0AUHdCFfdl4hsMDUD7xOQVixFXWqg==" saltValue="cMxQj9C9zTKPm/ggSCjB5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TELDE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0.80608922175187236</v>
      </c>
      <c r="C9" s="443">
        <f>IF(ISNUMBER(NºAsuntos!I9/NºAsuntos!G9),NºAsuntos!I9/NºAsuntos!G9," - ")</f>
        <v>2.8305392849929305</v>
      </c>
      <c r="D9" s="444">
        <f>IF(ISNUMBER('Resol  Asuntos'!D9/NºAsuntos!G9),'Resol  Asuntos'!D9/NºAsuntos!G9," - ")</f>
        <v>0.28701272470208039</v>
      </c>
      <c r="E9" s="445">
        <f>IF(ISNUMBER((NºAsuntos!C9+NºAsuntos!E9)/NºAsuntos!G9),(NºAsuntos!C9+NºAsuntos!E9)/NºAsuntos!G9," - ")</f>
        <v>3.8305392849929305</v>
      </c>
      <c r="G9" s="463"/>
    </row>
    <row r="10" spans="1:7">
      <c r="A10" s="402" t="str">
        <f>Datos!A10</f>
        <v>Jdos. Violencia contra la mujer</v>
      </c>
      <c r="B10" s="442">
        <f>IF(ISNUMBER(NºAsuntos!G10/NºAsuntos!E10),NºAsuntos!G10/NºAsuntos!E10," - ")</f>
        <v>3.4545454545454546</v>
      </c>
      <c r="C10" s="443">
        <f>IF(ISNUMBER(NºAsuntos!I10/NºAsuntos!G10),NºAsuntos!I10/NºAsuntos!G10," - ")</f>
        <v>2.3947368421052633</v>
      </c>
      <c r="D10" s="444">
        <f>IF(ISNUMBER('Resol  Asuntos'!D10/NºAsuntos!G10),'Resol  Asuntos'!D10/NºAsuntos!G10," - ")</f>
        <v>0.63157894736842102</v>
      </c>
      <c r="E10" s="445">
        <f>IF(ISNUMBER((NºAsuntos!C10+NºAsuntos!E10)/NºAsuntos!G10),(NºAsuntos!C10+NºAsuntos!E10)/NºAsuntos!G10," - ")</f>
        <v>3.3947368421052633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0.81082398829839097</v>
      </c>
      <c r="C13" s="859">
        <f>IF(ISNUMBER(NºAsuntos!I13/NºAsuntos!G13),NºAsuntos!I13/NºAsuntos!G13," - ")</f>
        <v>2.8272198837442373</v>
      </c>
      <c r="D13" s="860">
        <f>IF(ISNUMBER('Resol  Asuntos'!D13/NºAsuntos!G13),'Resol  Asuntos'!D13/NºAsuntos!G13," - ")</f>
        <v>0.28963720184405695</v>
      </c>
      <c r="E13" s="861">
        <f>IF(ISNUMBER((NºAsuntos!C13+NºAsuntos!E13)/NºAsuntos!G13),(NºAsuntos!C13+NºAsuntos!E13)/NºAsuntos!G13," - ")</f>
        <v>3.8272198837442373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0.95245835026412029</v>
      </c>
      <c r="C15" s="443">
        <f>IF(ISNUMBER(NºAsuntos!I15/NºAsuntos!G15),NºAsuntos!I15/NºAsuntos!G15," - ")</f>
        <v>1.4104095563139931</v>
      </c>
      <c r="D15" s="444">
        <f>IF(ISNUMBER('Resol  Asuntos'!D15/NºAsuntos!G15),'Resol  Asuntos'!D15/NºAsuntos!G15," - ")</f>
        <v>0.17790102389078499</v>
      </c>
      <c r="E15" s="445">
        <f>IF(ISNUMBER((NºAsuntos!C15+NºAsuntos!E15)/NºAsuntos!G15),(NºAsuntos!C15+NºAsuntos!E15)/NºAsuntos!G15," - ")</f>
        <v>2.4095563139931739</v>
      </c>
      <c r="G15" s="463"/>
    </row>
    <row r="16" spans="1:7">
      <c r="A16" s="402" t="str">
        <f>Datos!A16</f>
        <v xml:space="preserve">Jdos. 1ª Instª. e Instr.                        </v>
      </c>
      <c r="B16" s="442" t="str">
        <f>IF(ISNUMBER(NºAsuntos!G16/NºAsuntos!E16),NºAsuntos!G16/NºAsuntos!E16," - ")</f>
        <v xml:space="preserve"> - </v>
      </c>
      <c r="C16" s="443">
        <f>IF(ISNUMBER(NºAsuntos!I16/NºAsuntos!G16),NºAsuntos!I16/NºAsuntos!G16," - ")</f>
        <v>0.5</v>
      </c>
      <c r="D16" s="444">
        <f>IF(ISNUMBER('Resol  Asuntos'!D16/NºAsuntos!G16),'Resol  Asuntos'!D16/NºAsuntos!G16," - ")</f>
        <v>0</v>
      </c>
      <c r="E16" s="445">
        <f>IF(ISNUMBER((NºAsuntos!C16+NºAsuntos!E16)/NºAsuntos!G16),(NºAsuntos!C16+NºAsuntos!E16)/NºAsuntos!G16," - ")</f>
        <v>1.5</v>
      </c>
      <c r="G16" s="463"/>
    </row>
    <row r="17" spans="1:7" ht="13.5" thickBot="1">
      <c r="A17" s="402" t="str">
        <f>Datos!A17</f>
        <v>Jdos. Violencia contra la mujer</v>
      </c>
      <c r="B17" s="442">
        <f>IF(ISNUMBER(NºAsuntos!G17/NºAsuntos!E17),NºAsuntos!G17/NºAsuntos!E17," - ")</f>
        <v>2.5</v>
      </c>
      <c r="C17" s="443">
        <f>IF(ISNUMBER(NºAsuntos!I17/NºAsuntos!G17),NºAsuntos!I17/NºAsuntos!G17," - ")</f>
        <v>4.4400000000000004</v>
      </c>
      <c r="D17" s="444">
        <f>IF(ISNUMBER('Resol  Asuntos'!D17/NºAsuntos!G17),'Resol  Asuntos'!D17/NºAsuntos!G17," - ")</f>
        <v>0</v>
      </c>
      <c r="E17" s="445">
        <f>IF(ISNUMBER((NºAsuntos!C17+NºAsuntos!E17)/NºAsuntos!G17),(NºAsuntos!C17+NºAsuntos!E17)/NºAsuntos!G17," - ")</f>
        <v>5.44</v>
      </c>
      <c r="G17" s="463"/>
    </row>
    <row r="18" spans="1:7" ht="14.25" thickTop="1" thickBot="1">
      <c r="A18" s="848" t="str">
        <f>Datos!A18</f>
        <v>TOTAL</v>
      </c>
      <c r="B18" s="858">
        <f>IF(ISNUMBER(NºAsuntos!G18/NºAsuntos!E18),NºAsuntos!G18/NºAsuntos!E18," - ")</f>
        <v>0.95953055443140434</v>
      </c>
      <c r="C18" s="859">
        <f>IF(ISNUMBER(NºAsuntos!I18/NºAsuntos!G18),NºAsuntos!I18/NºAsuntos!G18," - ")</f>
        <v>1.4415858287642345</v>
      </c>
      <c r="D18" s="862">
        <f>IF(ISNUMBER('Resol  Asuntos'!D18/NºAsuntos!G18),'Resol  Asuntos'!D18/NºAsuntos!G18," - ")</f>
        <v>0.17587515816111346</v>
      </c>
      <c r="E18" s="861">
        <f>IF(ISNUMBER((NºAsuntos!C18+NºAsuntos!E18)/NºAsuntos!G18),(NºAsuntos!C18+NºAsuntos!E18)/NºAsuntos!G18," - ")</f>
        <v>2.4407423028258117</v>
      </c>
      <c r="G18" s="463"/>
    </row>
    <row r="19" spans="1:7" ht="15.75" customHeight="1" thickTop="1" thickBot="1">
      <c r="A19" s="793" t="str">
        <f>Datos!A19</f>
        <v>TOTAL JURISDICCIONES</v>
      </c>
      <c r="B19" s="808">
        <f>IF(ISNUMBER(NºAsuntos!G19/NºAsuntos!E19),NºAsuntos!G19/NºAsuntos!E19," - ")</f>
        <v>0.85343228200371057</v>
      </c>
      <c r="C19" s="809">
        <f>IF(ISNUMBER(NºAsuntos!I19/NºAsuntos!G19),NºAsuntos!I19/NºAsuntos!G19," - ")</f>
        <v>2.3808423913043479</v>
      </c>
      <c r="D19" s="810">
        <f>IF(ISNUMBER('Resol  Asuntos'!D19/NºAsuntos!G19),'Resol  Asuntos'!D19/NºAsuntos!G19," - ")</f>
        <v>0.25298913043478261</v>
      </c>
      <c r="E19" s="811">
        <f>IF(ISNUMBER((NºAsuntos!C19+NºAsuntos!E19)/NºAsuntos!G19),(NºAsuntos!C19+NºAsuntos!E19)/NºAsuntos!G19," - ")</f>
        <v>3.3805706521739132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QrxHaFSbJl2L25xEFQQCIcMSMS/j2rVjFHmN8Bixl8ASdcwOqegf1XPkEeHjzm6JEwShg6ByGF7FsSikFdgoA==" saltValue="ZtCXqWCC2cOqLYh64R3Y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TELDE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602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420</v>
      </c>
      <c r="Y9" s="334">
        <f>SUM(W9:X9)</f>
        <v>420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10556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1421</v>
      </c>
      <c r="AJ9" s="229" t="str">
        <f>IF(ISNUMBER(Datos!BW9),Datos!BW9," - ")</f>
        <v xml:space="preserve"> - </v>
      </c>
      <c r="AK9" s="228" t="str">
        <f>IF(ISNUMBER(Datos!BX9),Datos!BX9," - ")</f>
        <v xml:space="preserve"> - </v>
      </c>
      <c r="AL9" s="243">
        <f>IF(ISNUMBER(NºAsuntos!G9/NºAsuntos!E9),NºAsuntos!G9/NºAsuntos!E9," - ")</f>
        <v>0.80608922175187236</v>
      </c>
      <c r="AM9" s="260">
        <f>IF(ISNUMBER(((NºAsuntos!I9/NºAsuntos!G9)*11)/factor_trimestre),((NºAsuntos!I9/NºAsuntos!G9)*11)/factor_trimestre," - ")</f>
        <v>8.4916178549787915</v>
      </c>
      <c r="AN9" s="244">
        <f>IF(ISNUMBER('Resol  Asuntos'!D9/NºAsuntos!G9),'Resol  Asuntos'!D9/NºAsuntos!G9," - ")</f>
        <v>0.28701272470208039</v>
      </c>
      <c r="AO9" s="245">
        <f>IF(ISNUMBER((NºAsuntos!C9+NºAsuntos!E9)/NºAsuntos!G9),(NºAsuntos!C9+NºAsuntos!E9)/NºAsuntos!G9," - ")</f>
        <v>3.8305392849929305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118</v>
      </c>
      <c r="G10" s="333">
        <f>IF(ISNUMBER(Datos!I10),Datos!I10," - ")</f>
        <v>118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0</v>
      </c>
      <c r="Y10" s="334">
        <f t="shared" ref="Y10:Y12" si="0">SUM(W10:X10)</f>
        <v>38</v>
      </c>
      <c r="Z10" s="335" t="str">
        <f>IF(ISNUMBER(Datos!CC10),Datos!CC10," - ")</f>
        <v xml:space="preserve"> - </v>
      </c>
      <c r="AA10" s="332">
        <f>IF(ISNUMBER(Datos!L10),Datos!L10,"-")</f>
        <v>91</v>
      </c>
      <c r="AB10" s="334">
        <f>IF(ISNUMBER(Datos!R10),Datos!R10," - ")</f>
        <v>123</v>
      </c>
      <c r="AC10" s="334">
        <f t="shared" ref="AC10:AC12" si="1">IF(ISNUMBER(AA10+AB10),AA10+AB10," - ")</f>
        <v>214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3.4545454545454546</v>
      </c>
      <c r="AM10" s="260">
        <f>IF(ISNUMBER(((NºAsuntos!I10/NºAsuntos!G10)*11)/factor_trimestre),((NºAsuntos!I10/NºAsuntos!G10)*11)/factor_trimestre," - ")</f>
        <v>7.1842105263157903</v>
      </c>
      <c r="AN10" s="244">
        <f>IF(ISNUMBER('Resol  Asuntos'!D10/NºAsuntos!G10),'Resol  Asuntos'!D10/NºAsuntos!G10," - ")</f>
        <v>0.63157894736842102</v>
      </c>
      <c r="AO10" s="245">
        <f>IF(ISNUMBER((NºAsuntos!C10+NºAsuntos!E10)/NºAsuntos!G10),(NºAsuntos!C10+NºAsuntos!E10)/NºAsuntos!G10," - ")</f>
        <v>3.3947368421052633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118</v>
      </c>
      <c r="G13" s="866">
        <f t="shared" si="3"/>
        <v>118</v>
      </c>
      <c r="H13" s="865">
        <f t="shared" si="3"/>
        <v>0</v>
      </c>
      <c r="I13" s="867">
        <f t="shared" si="3"/>
        <v>0</v>
      </c>
      <c r="J13" s="867">
        <f t="shared" si="3"/>
        <v>0</v>
      </c>
      <c r="K13" s="867">
        <f t="shared" si="3"/>
        <v>0</v>
      </c>
      <c r="L13" s="867">
        <f t="shared" si="3"/>
        <v>605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420</v>
      </c>
      <c r="Y13" s="868">
        <f t="shared" si="4"/>
        <v>458</v>
      </c>
      <c r="Z13" s="868">
        <f t="shared" si="4"/>
        <v>0</v>
      </c>
      <c r="AA13" s="868">
        <f t="shared" si="4"/>
        <v>91</v>
      </c>
      <c r="AB13" s="868">
        <f t="shared" si="4"/>
        <v>10679</v>
      </c>
      <c r="AC13" s="868">
        <f t="shared" si="4"/>
        <v>214</v>
      </c>
      <c r="AD13" s="868">
        <f t="shared" si="4"/>
        <v>0</v>
      </c>
      <c r="AE13" s="872">
        <f t="shared" si="4"/>
        <v>0</v>
      </c>
      <c r="AF13" s="865">
        <f t="shared" si="4"/>
        <v>0</v>
      </c>
      <c r="AG13" s="873">
        <f t="shared" si="4"/>
        <v>0</v>
      </c>
      <c r="AH13" s="870">
        <f t="shared" si="4"/>
        <v>0</v>
      </c>
      <c r="AI13" s="865">
        <f t="shared" si="4"/>
        <v>1445</v>
      </c>
      <c r="AJ13" s="867">
        <f t="shared" si="4"/>
        <v>0</v>
      </c>
      <c r="AK13" s="870">
        <f>SUBTOTAL(9,AK9:AK12)</f>
        <v>0</v>
      </c>
      <c r="AL13" s="874">
        <f>IF(ISNUMBER(NºAsuntos!G13/NºAsuntos!E13),NºAsuntos!G13/NºAsuntos!E13," - ")</f>
        <v>0.81082398829839097</v>
      </c>
      <c r="AM13" s="874">
        <f>IF(ISNUMBER(((NºAsuntos!I13/NºAsuntos!G13)*11)/factor_trimestre),((NºAsuntos!I13/NºAsuntos!G13)*11)/factor_trimestre," - ")</f>
        <v>8.4816596512327127</v>
      </c>
      <c r="AN13" s="875">
        <f>IF(ISNUMBER('Resol  Asuntos'!D13/NºAsuntos!G13),'Resol  Asuntos'!D13/NºAsuntos!G13," - ")</f>
        <v>0.28963720184405695</v>
      </c>
      <c r="AO13" s="876">
        <f>IF(ISNUMBER((NºAsuntos!C13+NºAsuntos!E13)/NºAsuntos!G13),(NºAsuntos!C13+NºAsuntos!E13)/NºAsuntos!G13," - ")</f>
        <v>3.8272198837442373</v>
      </c>
      <c r="AP13" s="877" t="str">
        <f t="shared" si="2"/>
        <v xml:space="preserve"> - </v>
      </c>
      <c r="AQ13" s="877">
        <f>IF(ISNUMBER((H13-W13+K13)/(F13)),(H13-W13+K13)/(F13)," - ")</f>
        <v>-0.32203389830508472</v>
      </c>
      <c r="AR13" s="878">
        <f>IF(ISNUMBER((Datos!P13-Datos!Q13)/(Datos!R13-Datos!P13+Datos!Q13)),(Datos!P13-Datos!Q13)/(Datos!R13-Datos!P13+Datos!Q13)," - ")</f>
        <v>1.7629121402706307E-2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3189</v>
      </c>
      <c r="G15" s="333">
        <f>IF(ISNUMBER(IF(D_I="SI",Datos!I15,Datos!I15+Datos!AC15)),IF(D_I="SI",Datos!I15,Datos!I15+Datos!AC15)," - ")</f>
        <v>3187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2344</v>
      </c>
      <c r="X15" s="226">
        <f>IF(ISNUMBER(Datos!Q15),Datos!Q15," - ")</f>
        <v>65</v>
      </c>
      <c r="Y15" s="334">
        <f>SUM(W15)</f>
        <v>2344</v>
      </c>
      <c r="Z15" s="335" t="str">
        <f>IF(ISNUMBER(Datos!CC15),Datos!CC15," - ")</f>
        <v xml:space="preserve"> - </v>
      </c>
      <c r="AA15" s="332">
        <f>IF(ISNUMBER(IF(D_I="SI",Datos!L15,Datos!L15+Datos!AF15)),IF(D_I="SI",Datos!L15,Datos!L15+Datos!AF15)," - ")</f>
        <v>3306</v>
      </c>
      <c r="AB15" s="334">
        <f>IF(ISNUMBER(Datos!R15),Datos!R15," - ")</f>
        <v>455</v>
      </c>
      <c r="AC15" s="334">
        <f t="shared" ref="AC15:AC17" si="6">IF(ISNUMBER(AA15+AB15),AA15+AB15," - ")</f>
        <v>3761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417</v>
      </c>
      <c r="AJ15" s="231" t="str">
        <f>IF(ISNUMBER(Datos!BW15),Datos!BW15," - ")</f>
        <v xml:space="preserve"> - </v>
      </c>
      <c r="AK15" s="232" t="str">
        <f>IF(ISNUMBER(Datos!BX15),Datos!BX15," - ")</f>
        <v xml:space="preserve"> - </v>
      </c>
      <c r="AL15" s="243">
        <f>IF(ISNUMBER(NºAsuntos!G15/NºAsuntos!E15),NºAsuntos!G15/NºAsuntos!E15," - ")</f>
        <v>0.95245835026412029</v>
      </c>
      <c r="AM15" s="260">
        <f>IF(ISNUMBER(((NºAsuntos!I15/NºAsuntos!G15)*11)/factor_trimestre),((NºAsuntos!I15/NºAsuntos!G15)*11)/factor_trimestre," - ")</f>
        <v>4.2312286689419798</v>
      </c>
      <c r="AN15" s="244">
        <f>IF(ISNUMBER('Resol  Asuntos'!D15/NºAsuntos!G15),'Resol  Asuntos'!D15/NºAsuntos!G15," - ")</f>
        <v>0.17790102389078499</v>
      </c>
      <c r="AO15" s="245">
        <f>IF(ISNUMBER((NºAsuntos!C15+NºAsuntos!E15)/NºAsuntos!G15),(NºAsuntos!C15+NºAsuntos!E15)/NºAsuntos!G15," - ")</f>
        <v>2.4095563139931739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v>
      </c>
      <c r="G16" s="333">
        <f>IF(ISNUMBER(IF(D_I="SI",Datos!I16,Datos!I16+Datos!AC16)),IF(D_I="SI",Datos!I16,Datos!I16+Datos!AC16)," - ")</f>
        <v>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v>
      </c>
      <c r="X16" s="226">
        <f>IF(ISNUMBER(Datos!Q16),Datos!Q16," - ")</f>
        <v>0</v>
      </c>
      <c r="Y16" s="334">
        <f t="shared" ref="Y16:Y17" si="7">SUM(W16:X16)</f>
        <v>2</v>
      </c>
      <c r="Z16" s="335" t="str">
        <f>IF(ISNUMBER(Datos!CC16),Datos!CC16," - ")</f>
        <v xml:space="preserve"> - </v>
      </c>
      <c r="AA16" s="332">
        <f>IF(ISNUMBER(IF(D_I="SI",Datos!L16,Datos!L16+Datos!AF16)),IF(D_I="SI",Datos!L16,Datos!L16+Datos!AF16)," - ")</f>
        <v>1</v>
      </c>
      <c r="AB16" s="334">
        <f>IF(ISNUMBER(Datos!R16),Datos!R16," - ")</f>
        <v>0</v>
      </c>
      <c r="AC16" s="334">
        <f t="shared" si="6"/>
        <v>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f>IF(ISNUMBER(((NºAsuntos!I16/NºAsuntos!G16)*11)/factor_trimestre),((NºAsuntos!I16/NºAsuntos!G16)*11)/factor_trimestre," - ")</f>
        <v>1.5</v>
      </c>
      <c r="AN16" s="244">
        <f>IF(ISNUMBER('Resol  Asuntos'!D16/NºAsuntos!G16),'Resol  Asuntos'!D16/NºAsuntos!G16," - ")</f>
        <v>0</v>
      </c>
      <c r="AO16" s="245">
        <f>IF(ISNUMBER((NºAsuntos!C16+NºAsuntos!E16)/NºAsuntos!G16),(NºAsuntos!C16+NºAsuntos!E16)/NºAsuntos!G16," - ")</f>
        <v>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8</v>
      </c>
      <c r="Y17" s="334">
        <f t="shared" si="7"/>
        <v>33</v>
      </c>
      <c r="Z17" s="335" t="str">
        <f>IF(ISNUMBER(Datos!CC17),Datos!CC17," - ")</f>
        <v xml:space="preserve"> - </v>
      </c>
      <c r="AA17" s="332">
        <f>IF(ISNUMBER(Datos!L17),Datos!L17,"-")</f>
        <v>111</v>
      </c>
      <c r="AB17" s="334">
        <f>IF(ISNUMBER(Datos!R17),Datos!R17," - ")</f>
        <v>4</v>
      </c>
      <c r="AC17" s="334">
        <f t="shared" si="6"/>
        <v>115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2.5</v>
      </c>
      <c r="AM17" s="260">
        <f>IF(ISNUMBER(((NºAsuntos!I17/NºAsuntos!G17)*11)/factor_trimestre),((NºAsuntos!I17/NºAsuntos!G17)*11)/factor_trimestre," - ")</f>
        <v>13.320000000000002</v>
      </c>
      <c r="AN17" s="244">
        <f>IF(ISNUMBER('Resol  Asuntos'!D17/NºAsuntos!G17),'Resol  Asuntos'!D17/NºAsuntos!G17," - ")</f>
        <v>0</v>
      </c>
      <c r="AO17" s="245">
        <f>IF(ISNUMBER((NºAsuntos!C17+NºAsuntos!E17)/NºAsuntos!G17),(NºAsuntos!C17+NºAsuntos!E17)/NºAsuntos!G17," - ")</f>
        <v>5.44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3192</v>
      </c>
      <c r="G18" s="866">
        <f>SUBTOTAL(9,G15:G17)</f>
        <v>3316</v>
      </c>
      <c r="H18" s="865">
        <f t="shared" ref="H18:O18" si="10">SUBTOTAL(9,H14:H17)</f>
        <v>0</v>
      </c>
      <c r="I18" s="867">
        <f t="shared" si="10"/>
        <v>0</v>
      </c>
      <c r="J18" s="867">
        <f t="shared" si="10"/>
        <v>0</v>
      </c>
      <c r="K18" s="867">
        <f t="shared" si="10"/>
        <v>0</v>
      </c>
      <c r="L18" s="867">
        <f t="shared" si="10"/>
        <v>110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2371</v>
      </c>
      <c r="X18" s="867">
        <f t="shared" si="11"/>
        <v>73</v>
      </c>
      <c r="Y18" s="868">
        <f t="shared" si="11"/>
        <v>2379</v>
      </c>
      <c r="Z18" s="868">
        <f t="shared" si="11"/>
        <v>0</v>
      </c>
      <c r="AA18" s="868">
        <f t="shared" si="11"/>
        <v>3418</v>
      </c>
      <c r="AB18" s="868">
        <f t="shared" si="11"/>
        <v>459</v>
      </c>
      <c r="AC18" s="868">
        <f t="shared" si="11"/>
        <v>3877</v>
      </c>
      <c r="AD18" s="868">
        <f t="shared" si="11"/>
        <v>0</v>
      </c>
      <c r="AE18" s="872">
        <f t="shared" si="11"/>
        <v>0</v>
      </c>
      <c r="AF18" s="865">
        <f t="shared" si="11"/>
        <v>0</v>
      </c>
      <c r="AG18" s="873">
        <f t="shared" si="11"/>
        <v>0</v>
      </c>
      <c r="AH18" s="870">
        <f t="shared" si="11"/>
        <v>0</v>
      </c>
      <c r="AI18" s="865">
        <f t="shared" si="11"/>
        <v>417</v>
      </c>
      <c r="AJ18" s="867">
        <f t="shared" si="11"/>
        <v>0</v>
      </c>
      <c r="AK18" s="870">
        <f t="shared" si="11"/>
        <v>0</v>
      </c>
      <c r="AL18" s="874">
        <f>IF(ISNUMBER(NºAsuntos!G18/NºAsuntos!E18),NºAsuntos!G18/NºAsuntos!E18," - ")</f>
        <v>0.95953055443140434</v>
      </c>
      <c r="AM18" s="874">
        <f>IF(ISNUMBER(((NºAsuntos!I18/NºAsuntos!G18)*11)/factor_trimestre),((NºAsuntos!I18/NºAsuntos!G18)*11)/factor_trimestre," - ")</f>
        <v>4.3247574862927038</v>
      </c>
      <c r="AN18" s="875">
        <f>IF(ISNUMBER('Resol  Asuntos'!D18/NºAsuntos!G18),'Resol  Asuntos'!D18/NºAsuntos!G18," - ")</f>
        <v>0.17587515816111346</v>
      </c>
      <c r="AO18" s="876">
        <f>IF(ISNUMBER((NºAsuntos!C18+NºAsuntos!E18)/NºAsuntos!G18),(NºAsuntos!C18+NºAsuntos!E18)/NºAsuntos!G18," - ")</f>
        <v>2.4407423028258117</v>
      </c>
      <c r="AP18" s="877" t="str">
        <f t="shared" si="2"/>
        <v xml:space="preserve"> - </v>
      </c>
      <c r="AQ18" s="877">
        <f>IF(ISNUMBER((H18-W18+K18)/(F18)),(H18-W18+K18)/(F18)," - ")</f>
        <v>-0.7427944862155389</v>
      </c>
      <c r="AR18" s="878">
        <f>IF(ISNUMBER((Datos!P18-Datos!Q18)/(Datos!R18-Datos!P18+Datos!Q18)),(Datos!P18-Datos!Q18)/(Datos!R18-Datos!P18+Datos!Q18)," - ")</f>
        <v>8.7677725118483416E-2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3310</v>
      </c>
      <c r="G19" s="821">
        <f t="shared" si="13"/>
        <v>3434</v>
      </c>
      <c r="H19" s="820">
        <f t="shared" si="13"/>
        <v>0</v>
      </c>
      <c r="I19" s="822">
        <f t="shared" si="13"/>
        <v>0</v>
      </c>
      <c r="J19" s="822">
        <f t="shared" si="13"/>
        <v>0</v>
      </c>
      <c r="K19" s="881">
        <f t="shared" si="13"/>
        <v>0</v>
      </c>
      <c r="L19" s="822">
        <f t="shared" si="13"/>
        <v>715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2409</v>
      </c>
      <c r="X19" s="821">
        <f t="shared" si="14"/>
        <v>493</v>
      </c>
      <c r="Y19" s="828">
        <f t="shared" si="14"/>
        <v>2837</v>
      </c>
      <c r="Z19" s="828">
        <f t="shared" si="14"/>
        <v>0</v>
      </c>
      <c r="AA19" s="828">
        <f t="shared" si="14"/>
        <v>3509</v>
      </c>
      <c r="AB19" s="828">
        <f t="shared" si="14"/>
        <v>11138</v>
      </c>
      <c r="AC19" s="828">
        <f t="shared" si="14"/>
        <v>4091</v>
      </c>
      <c r="AD19" s="828">
        <f t="shared" si="14"/>
        <v>0</v>
      </c>
      <c r="AE19" s="830">
        <f t="shared" si="14"/>
        <v>0</v>
      </c>
      <c r="AF19" s="831">
        <f t="shared" si="14"/>
        <v>0</v>
      </c>
      <c r="AG19" s="832">
        <f t="shared" si="14"/>
        <v>0</v>
      </c>
      <c r="AH19" s="830">
        <f t="shared" si="14"/>
        <v>0</v>
      </c>
      <c r="AI19" s="820">
        <f t="shared" si="14"/>
        <v>1862</v>
      </c>
      <c r="AJ19" s="820">
        <f t="shared" si="14"/>
        <v>0</v>
      </c>
      <c r="AK19" s="830">
        <f t="shared" si="14"/>
        <v>0</v>
      </c>
      <c r="AL19" s="884">
        <f>IF(ISNUMBER(NºAsuntos!G19/NºAsuntos!E19),NºAsuntos!G19/NºAsuntos!E19," - ")</f>
        <v>0.85343228200371057</v>
      </c>
      <c r="AM19" s="885">
        <f>IF(ISNUMBER(((NºAsuntos!I19/NºAsuntos!G19)*11)/factor_trimestre),((NºAsuntos!I19/NºAsuntos!G19)*11)/factor_trimestre," - ")</f>
        <v>7.1425271739130443</v>
      </c>
      <c r="AN19" s="885">
        <f>IF(ISNUMBER('Resol  Asuntos'!D19/NºAsuntos!G19),'Resol  Asuntos'!D19/NºAsuntos!G19," - ")</f>
        <v>0.25298913043478261</v>
      </c>
      <c r="AO19" s="886">
        <f>IF(ISNUMBER((NºAsuntos!C19+NºAsuntos!E19)/NºAsuntos!G19),(NºAsuntos!C19+NºAsuntos!E19)/NºAsuntos!G19," - ")</f>
        <v>3.3805706521739132</v>
      </c>
      <c r="AP19" s="887" t="str">
        <f t="shared" si="2"/>
        <v xml:space="preserve"> - </v>
      </c>
      <c r="AQ19" s="888">
        <f>IF(OR(ISNUMBER(FIND("01",Criterios!A8,1)),ISNUMBER(FIND("02",Criterios!A8,1)),ISNUMBER(FIND("03",Criterios!A8,1)),ISNUMBER(FIND("04",Criterios!A8,1))),(I19-W19+K19)/(F19-K19),(H19-W19+K19)/(F19-K19))</f>
        <v>-0.72779456193353476</v>
      </c>
      <c r="AR19" s="889">
        <f>IF(ISNUMBER((Datos!P19-Datos!Q19)/(Datos!R19-Datos!P19+Datos!Q19)),(Datos!P19-Datos!Q19)/(Datos!R19-Datos!P19+Datos!Q19)," - ")</f>
        <v>2.0337119824111394E-2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1144.6666666666667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1704.5206070916245</v>
      </c>
      <c r="G21" s="253">
        <f>IF(ISNUMBER(STDEV(G8:G18)),STDEV(G8:G18),"-")</f>
        <v>1633.0944451153664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1204.212605813442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642.19052209345682</v>
      </c>
      <c r="AJ21" s="252">
        <f t="shared" si="18"/>
        <v>0</v>
      </c>
      <c r="AK21" s="254">
        <f t="shared" si="18"/>
        <v>0</v>
      </c>
      <c r="AL21" s="249">
        <f t="shared" si="18"/>
        <v>1.1251381395103985</v>
      </c>
      <c r="AM21" s="250">
        <f t="shared" si="18"/>
        <v>3.8549177961577197</v>
      </c>
      <c r="AN21" s="250">
        <f t="shared" si="18"/>
        <v>0.2157110049291103</v>
      </c>
      <c r="AO21" s="251">
        <f t="shared" si="18"/>
        <v>1.2851569877152025</v>
      </c>
      <c r="AP21" s="291" t="str">
        <f t="shared" si="18"/>
        <v>-</v>
      </c>
      <c r="AQ21" s="292">
        <f t="shared" si="18"/>
        <v>0.29752266496752056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GolgNiQo7QQdIb4NADZkRxy6/Ixqj4s/asDH6dJAP2sBXcDpSfwE5hCJMWnX3Pfjfy+mnEuSz9GnxveblyJMkg==" saltValue="iSwtjlwiyD0x/4iOfPpu3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TELDE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0.43825910931174089</v>
      </c>
      <c r="I9" s="350">
        <f>IF(ISNUMBER((Tasas!C9-Datos!BE9)/Datos!BE9),(Tasas!C9-Datos!BE9)/Datos!BE9," - ")</f>
        <v>7.3691089878259036E-2</v>
      </c>
      <c r="J9" s="349">
        <f>IF(ISNUMBER((Tasas!D9-Datos!BF9)/Datos!BF9),(Tasas!D9-Datos!BF9)/Datos!BF9," - ")</f>
        <v>-0.42194263406776628</v>
      </c>
      <c r="K9" s="351">
        <f>IF(ISNUMBER((Tasas!E9-Datos!BG9)/Datos!BG9),(Tasas!E9-Datos!BG9)/Datos!BG9," - ")</f>
        <v>5.342551663879181E-2</v>
      </c>
      <c r="M9" t="e">
        <f>IF(Monitorios="SI",Datos!CE9,0)</f>
        <v>#REF!</v>
      </c>
      <c r="N9" t="e">
        <f>IF(Monitorios="SI",Datos!CF9,0)</f>
        <v>#REF!</v>
      </c>
      <c r="O9" t="e">
        <f>IF(Monitorios="SI",Datos!CG9,0)</f>
        <v>#REF!</v>
      </c>
      <c r="P9" t="e">
        <f>IF(Monitorios="SI",Datos!CH9,0)</f>
        <v>#REF!</v>
      </c>
      <c r="Q9">
        <f>IF(J_V="SI",0,Datos!AG9)</f>
        <v>265</v>
      </c>
      <c r="R9">
        <f>IF(J_V="SI",0,Datos!AH9)</f>
        <v>156</v>
      </c>
      <c r="S9">
        <f>IF(J_V="SI",0,Datos!AI9)</f>
        <v>147</v>
      </c>
      <c r="T9">
        <f>IF(J_V="SI",0,Datos!AJ9)</f>
        <v>274</v>
      </c>
    </row>
    <row r="10" spans="2:20" ht="14.25">
      <c r="B10" s="275" t="s">
        <v>246</v>
      </c>
      <c r="C10" s="7" t="str">
        <f>Datos!A10</f>
        <v>Jdos. Violencia contra la mujer</v>
      </c>
      <c r="D10" s="352">
        <f>IF(ISNUMBER((Datos!I10-Datos!S10)/Datos!S10),(Datos!I10-Datos!S10)/Datos!S10," - ")</f>
        <v>-0.39795918367346939</v>
      </c>
      <c r="E10" s="348">
        <f>IF(ISNUMBER((Datos!J10-Datos!T10)/Datos!T10),(Datos!J10-Datos!T10)/Datos!T10," - ")</f>
        <v>-0.828125</v>
      </c>
      <c r="F10" s="348">
        <f>IF(ISNUMBER((Datos!K10-Datos!U10)/Datos!U10),(Datos!K10-Datos!U10)/Datos!U10," - ")</f>
        <v>-0.42424242424242425</v>
      </c>
      <c r="G10" s="349">
        <f>IF(ISNUMBER((Datos!L10-Datos!V10)/Datos!V10),(Datos!L10-Datos!V10)/Datos!V10," - ")</f>
        <v>-0.53092783505154639</v>
      </c>
      <c r="H10" s="230">
        <f>IF(ISNUMBER((Datos!M10-Datos!W10)/Datos!W10),(Datos!M10-Datos!W10)/Datos!W10," - ")</f>
        <v>0.14285714285714285</v>
      </c>
      <c r="I10" s="350">
        <f>IF(ISNUMBER((Tasas!C10-Datos!BE10)/Datos!BE10),(Tasas!C10-Datos!BE10)/Datos!BE10," - ")</f>
        <v>-0.18529571351058055</v>
      </c>
      <c r="J10" s="349">
        <f>IF(ISNUMBER((Tasas!D10-Datos!BF10)/Datos!BF10),(Tasas!D10-Datos!BF10)/Datos!BF10," - ")</f>
        <v>0.98496240601503748</v>
      </c>
      <c r="K10" s="351">
        <f>IF(ISNUMBER((Tasas!E10-Datos!BG10)/Datos!BG10),(Tasas!E10-Datos!BG10)/Datos!BG10," - ")</f>
        <v>-0.13825910931174087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0.4321110009910803</v>
      </c>
      <c r="I13" s="357">
        <f>IF(ISNUMBER((Tasas!C13-Datos!BE13)/Datos!BE13),(Tasas!C13-Datos!BE13)/Datos!BE13," - ")</f>
        <v>7.0368754909227949E-2</v>
      </c>
      <c r="J13" s="355">
        <f>IF(ISNUMBER((Tasas!D13-Datos!BF13)/Datos!BF13),(Tasas!D13-Datos!BF13)/Datos!BF13," - ")</f>
        <v>-0.41312317876476984</v>
      </c>
      <c r="K13" s="358">
        <f>IF(ISNUMBER((Tasas!E13-Datos!BG13)/Datos!BG13),(Tasas!E13-Datos!BG13)/Datos!BG13," - ")</f>
        <v>5.1043853397116451E-2</v>
      </c>
      <c r="M13" t="e">
        <f>IF(Monitorios="SI",Datos!CE13,0)</f>
        <v>#REF!</v>
      </c>
      <c r="N13" t="e">
        <f>IF(Monitorios="SI",Datos!CF13,0)</f>
        <v>#REF!</v>
      </c>
      <c r="O13" t="e">
        <f>IF(Monitorios="SI",Datos!CG13,0)</f>
        <v>#REF!</v>
      </c>
      <c r="P13" t="e">
        <f>IF(Monitorios="SI",Datos!CH13,0)</f>
        <v>#REF!</v>
      </c>
      <c r="Q13">
        <f>IF(J_V="SI",0,Datos!AG13)</f>
        <v>265</v>
      </c>
      <c r="R13">
        <f>IF(J_V="SI",0,Datos!AH13)</f>
        <v>156</v>
      </c>
      <c r="S13">
        <f>IF(J_V="SI",0,Datos!AI13)</f>
        <v>147</v>
      </c>
      <c r="T13">
        <f>IF(J_V="SI",0,Datos!AJ13)</f>
        <v>274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0.23622963537626065</v>
      </c>
      <c r="E15" s="348">
        <f>IF(ISNUMBER(
   IF(D_I="SI",(Datos!J15-Datos!T15)/Datos!T15,(Datos!J15+Datos!AD15-(Datos!T15+Datos!AL15))/(Datos!T15+Datos!AL15))
     ),IF(D_I="SI",(Datos!J15-Datos!T15)/Datos!T15,(Datos!J15+Datos!AD15-(Datos!T15+Datos!AL15))/(Datos!T15+Datos!AL15))," - ")</f>
        <v>-2.2637013502779985E-2</v>
      </c>
      <c r="F15" s="348">
        <f>IF(ISNUMBER(
   IF(D_I="SI",(Datos!K15-Datos!U15)/Datos!U15,(Datos!K15+Datos!AE15-(Datos!U15+Datos!AM15))/(Datos!U15+Datos!AM15))
     ),IF(D_I="SI",(Datos!K15-Datos!U15)/Datos!U15,(Datos!K15+Datos!AE15-(Datos!U15+Datos!AM15))/(Datos!U15+Datos!AM15))," - ")</f>
        <v>-1.4712063892391762E-2</v>
      </c>
      <c r="G15" s="349">
        <f>IF(ISNUMBER(
   IF(D_I="SI",(Datos!L15-Datos!V15)/Datos!V15,(Datos!L15+Datos!AF15-(Datos!V15+Datos!AN15))/(Datos!V15+Datos!AN15))
     ),IF(D_I="SI",(Datos!L15-Datos!V15)/Datos!V15,(Datos!L15+Datos!AF15-(Datos!V15+Datos!AN15))/(Datos!V15+Datos!AN15))," - ")</f>
        <v>0.22308546059933407</v>
      </c>
      <c r="H15" s="230">
        <f>IF(ISNUMBER((Datos!M15-Datos!W15)/Datos!W15),(Datos!M15-Datos!W15)/Datos!W15," - ")</f>
        <v>0.31132075471698112</v>
      </c>
      <c r="I15" s="350">
        <f>IF(ISNUMBER((Tasas!C15-Datos!BE15)/Datos!BE15),(Tasas!C15-Datos!BE15)/Datos!BE15," - ")</f>
        <v>0.241348255446167</v>
      </c>
      <c r="J15" s="349">
        <f>IF(ISNUMBER((Tasas!D15-Datos!BF15)/Datos!BF15),(Tasas!D15-Datos!BF15)/Datos!BF15," - ")</f>
        <v>0.33090105608860854</v>
      </c>
      <c r="K15" s="351">
        <f>IF(ISNUMBER((Tasas!E15-Datos!BG15)/Datos!BG15),(Tasas!E15-Datos!BG15)/Datos!BG15," - ")</f>
        <v>0.12486940168558877</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-0.75</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-0.18181818181818182</v>
      </c>
      <c r="E17" s="348">
        <f>IF(ISNUMBER(
   IF(D_I="SI",(Datos!J17-Datos!T17)/Datos!T17,(Datos!J17+Datos!AD17-(Datos!T17+Datos!AL17))/(Datos!T17+Datos!AL17))
     ),IF(D_I="SI",(Datos!J17-Datos!T17)/Datos!T17,(Datos!J17+Datos!AD17-(Datos!T17+Datos!AL17))/(Datos!T17+Datos!AL17))," - ")</f>
        <v>-0.9242424242424242</v>
      </c>
      <c r="F17" s="348">
        <f>IF(ISNUMBER(
   IF(D_I="SI",(Datos!K17-Datos!U17)/Datos!U17,(Datos!K17+Datos!AE17-(Datos!U17+Datos!AM17))/(Datos!U17+Datos!AM17))
     ),IF(D_I="SI",(Datos!K17-Datos!U17)/Datos!U17,(Datos!K17+Datos!AE17-(Datos!U17+Datos!AM17))/(Datos!U17+Datos!AM17))," - ")</f>
        <v>-0.81481481481481477</v>
      </c>
      <c r="G17" s="349">
        <f>IF(ISNUMBER(
   IF(D_I="SI",(Datos!L17-Datos!V17)/Datos!V17,(Datos!L17+Datos!AF17-(Datos!V17+Datos!AN17))/(Datos!V17+Datos!AN17))
     ),IF(D_I="SI",(Datos!L17-Datos!V17)/Datos!V17,(Datos!L17+Datos!AF17-(Datos!V17+Datos!AN17))/(Datos!V17+Datos!AN17))," - ")</f>
        <v>-0.26490066225165565</v>
      </c>
      <c r="H17" s="230">
        <f>IF(ISNUMBER((Datos!M17-Datos!W17)/Datos!W17),(Datos!M17-Datos!W17)/Datos!W17," - ")</f>
        <v>-1</v>
      </c>
      <c r="I17" s="350">
        <f>IF(ISNUMBER((Tasas!C17-Datos!BE17)/Datos!BE17),(Tasas!C17-Datos!BE17)/Datos!BE17," - ")</f>
        <v>2.9695364238410598</v>
      </c>
      <c r="J17" s="349">
        <f>IF(ISNUMBER((Tasas!D17-Datos!BF17)/Datos!BF17),(Tasas!D17-Datos!BF17)/Datos!BF17," - ")</f>
        <v>-1</v>
      </c>
      <c r="K17" s="351">
        <f>IF(ISNUMBER((Tasas!E17-Datos!BG17)/Datos!BG17),(Tasas!E17-Datos!BG17)/Datos!BG17," - ")</f>
        <v>1.5678321678321678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0.21198830409356725</v>
      </c>
      <c r="E18" s="354">
        <f>IF(ISNUMBER(
   IF(D_I="SI",(Datos!J18-Datos!T18)/Datos!T18,(Datos!J18+Datos!AD18-(Datos!T18+Datos!AL18))/(Datos!T18+Datos!AL18))
     ),IF(D_I="SI",(Datos!J18-Datos!T18)/Datos!T18,(Datos!J18+Datos!AD18-(Datos!T18+Datos!AL18))/(Datos!T18+Datos!AL18))," - ")</f>
        <v>-6.7547169811320751E-2</v>
      </c>
      <c r="F18" s="354">
        <f>IF(ISNUMBER(
   IF(D_I="SI",(Datos!K18-Datos!U18)/Datos!U18,(Datos!K18+Datos!AE18-(Datos!U18+Datos!AM18))/(Datos!U18+Datos!AM18))
     ),IF(D_I="SI",(Datos!K18-Datos!U18)/Datos!U18,(Datos!K18+Datos!AE18-(Datos!U18+Datos!AM18))/(Datos!U18+Datos!AM18))," - ")</f>
        <v>-5.6881463802704854E-2</v>
      </c>
      <c r="G18" s="355">
        <f>IF(ISNUMBER(
   IF(D_I="SI",(Datos!L18-Datos!V18)/Datos!V18,(Datos!L18+Datos!AF18-(Datos!V18+Datos!AN18))/(Datos!V18+Datos!AN18))
     ),IF(D_I="SI",(Datos!L18-Datos!V18)/Datos!V18,(Datos!L18+Datos!AF18-(Datos!V18+Datos!AN18))/(Datos!V18+Datos!AN18))," - ")</f>
        <v>0.19594121763470959</v>
      </c>
      <c r="H18" s="356">
        <f>IF(ISNUMBER((Datos!M18-Datos!W18)/Datos!W18),(Datos!M18-Datos!W18)/Datos!W18," - ")</f>
        <v>0.10610079575596817</v>
      </c>
      <c r="I18" s="357">
        <f>IF(ISNUMBER((Tasas!C18-Datos!BE18)/Datos!BE18),(Tasas!C18-Datos!BE18)/Datos!BE18," - ")</f>
        <v>0.26807094944481652</v>
      </c>
      <c r="J18" s="355">
        <f>IF(ISNUMBER((Tasas!D18-Datos!BF18)/Datos!BF18),(Tasas!D18-Datos!BF18)/Datos!BF18," - ")</f>
        <v>0.17281206264466636</v>
      </c>
      <c r="K18" s="358">
        <f>IF(ISNUMBER((Tasas!E18-Datos!BG18)/Datos!BG18),(Tasas!E18-Datos!BG18)/Datos!BG18," - ")</f>
        <v>0.13925476221761793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0.2512121911798661</v>
      </c>
      <c r="E19" s="363">
        <f>IF(ISNUMBER(
   IF(J_V="SI",(Datos!J19-Datos!T19)/Datos!T19,(Datos!J19+Datos!Z19-(Datos!T19+Datos!AH19))/(Datos!T19+Datos!AH19))
     ),IF(J_V="SI",(Datos!J19-Datos!T19)/Datos!T19,(Datos!J19+Datos!Z19-(Datos!T19+Datos!AH19))/(Datos!T19+Datos!AH19))," - ")</f>
        <v>0.28161688215187991</v>
      </c>
      <c r="F19" s="363">
        <f>IF(ISNUMBER(
   IF(J_V="SI",(Datos!K19-Datos!U19)/Datos!U19,(Datos!K19+Datos!AA19-(Datos!U19+Datos!AI19))/(Datos!U19+Datos!AI19))
     ),IF(J_V="SI",(Datos!K19-Datos!U19)/Datos!U19,(Datos!K19+Datos!AA19-(Datos!U19+Datos!AI19))/(Datos!U19+Datos!AI19))," - ")</f>
        <v>0.14090838629669819</v>
      </c>
      <c r="G19" s="364">
        <f>IF(ISNUMBER(
   IF(J_V="SI",(Datos!L19-Datos!V19)/Datos!V19,(Datos!L19+Datos!AB19-(Datos!V19+Datos!AJ19))/(Datos!V19+Datos!AJ19))
     ),IF(J_V="SI",(Datos!L19-Datos!V19)/Datos!V19,(Datos!L19+Datos!AB19-(Datos!V19+Datos!AJ19))/(Datos!V19+Datos!AJ19))," - ")</f>
        <v>0.32179226069246436</v>
      </c>
      <c r="H19" s="365">
        <f>IF(ISNUMBER((Datos!M19-Datos!W19)/Datos!W19),(Datos!M19-Datos!W19)/Datos!W19," - ")</f>
        <v>0.34343434343434343</v>
      </c>
      <c r="I19" s="362">
        <f>IF(ISNUMBER((Tasas!C19-Datos!BE19)/Datos!BE19),(Tasas!C19-Datos!BE19)/Datos!BE19," - ")</f>
        <v>0.15854373284335441</v>
      </c>
      <c r="J19" s="363">
        <f>IF(ISNUMBER((Tasas!D19-Datos!BF19)/Datos!BF19),(Tasas!D19-Datos!BF19)/Datos!BF19," - ")</f>
        <v>-0.29653755153673167</v>
      </c>
      <c r="K19" s="364">
        <f>IF(ISNUMBER((Tasas!E19-Datos!BG19)/Datos!BG19),(Tasas!E19-Datos!BG19)/Datos!BG19," - ")</f>
        <v>0.10577331290811852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0.28528727876255305</v>
      </c>
      <c r="E21" s="278">
        <f t="shared" si="1"/>
        <v>0.48178177020205398</v>
      </c>
      <c r="F21" s="278">
        <f t="shared" si="1"/>
        <v>0.37323156557289422</v>
      </c>
      <c r="G21" s="279">
        <f t="shared" si="1"/>
        <v>0.43266047384218159</v>
      </c>
      <c r="H21" s="285">
        <f t="shared" si="1"/>
        <v>0.54340912515404027</v>
      </c>
      <c r="I21" s="277">
        <f t="shared" si="1"/>
        <v>1.1851853330718269</v>
      </c>
      <c r="J21" s="278">
        <f t="shared" si="1"/>
        <v>0.69831498640311307</v>
      </c>
      <c r="K21" s="279">
        <f t="shared" si="1"/>
        <v>0.62908771871116376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tvTR72OyuVjb2BpP3kxs9+4L2m7VSeiKt2P8U3Lm/bRyO3HrfV1XkrxP6vYWni9d9zzvuCHKo50XRilfMCCCQ==" saltValue="XCHpizLrF9RrGc5kBq4ei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